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285" activeTab="0"/>
  </bookViews>
  <sheets>
    <sheet name="MBA Investment Calculator" sheetId="1" r:id="rId1"/>
  </sheets>
  <definedNames>
    <definedName name="_xlnm.Print_Area" localSheetId="0">'MBA Investment Calculator'!$A$1:$Y$52</definedName>
    <definedName name="_xlnm.Print_Titles" localSheetId="0">'MBA Investment Calculator'!$A:$B,'MBA Investment Calculator'!$1:$11</definedName>
  </definedNames>
  <calcPr fullCalcOnLoad="1"/>
</workbook>
</file>

<file path=xl/sharedStrings.xml><?xml version="1.0" encoding="utf-8"?>
<sst xmlns="http://schemas.openxmlformats.org/spreadsheetml/2006/main" count="89" uniqueCount="76">
  <si>
    <t>Tax Filing Brackets:</t>
  </si>
  <si>
    <t>Single</t>
  </si>
  <si>
    <t>Pre MBA Total Salary</t>
  </si>
  <si>
    <t>Post MBA Base Salary</t>
  </si>
  <si>
    <t>1st Tax Bracket $</t>
  </si>
  <si>
    <t>Annual Raise (%)</t>
  </si>
  <si>
    <t>1st Tax Bracket %</t>
  </si>
  <si>
    <t>Loan Amount</t>
  </si>
  <si>
    <t>Signing Bonus</t>
  </si>
  <si>
    <t>2nd Tax Bracket $</t>
  </si>
  <si>
    <t>Loan Rate</t>
  </si>
  <si>
    <t>Year End Bonus</t>
  </si>
  <si>
    <t>2nd Tax Bracket %</t>
  </si>
  <si>
    <t>Est. Growth Rate (%)</t>
  </si>
  <si>
    <t>3rd Tax Bracket $</t>
  </si>
  <si>
    <t>Loans Paid Off if Loans Exist</t>
  </si>
  <si>
    <t>3rd Tax Bracket %</t>
  </si>
  <si>
    <t>(20 Years)</t>
  </si>
  <si>
    <t>Tot. Tax Rate Pre MBA</t>
  </si>
  <si>
    <t>Constant</t>
  </si>
  <si>
    <t>4th Tax Bracket $</t>
  </si>
  <si>
    <t xml:space="preserve">Pre MBA Salary </t>
  </si>
  <si>
    <t>Tax First Bracket</t>
  </si>
  <si>
    <t>Tax Second Bracket</t>
  </si>
  <si>
    <t>Tax Third Bracket</t>
  </si>
  <si>
    <t>Tax Fourth Bracket</t>
  </si>
  <si>
    <t>Total Federal Tax (Single)</t>
  </si>
  <si>
    <t>Fica Tax:</t>
  </si>
  <si>
    <t>Medicare:</t>
  </si>
  <si>
    <t>Total Taxes Paid</t>
  </si>
  <si>
    <t>Pre MBA After Tax Salary</t>
  </si>
  <si>
    <t>Post MBA Salary</t>
  </si>
  <si>
    <t>Post MBA Year End Bonus</t>
  </si>
  <si>
    <t>Post MBA Total Salary &amp; Bonus</t>
  </si>
  <si>
    <t>Post MBA After Tax Salary</t>
  </si>
  <si>
    <t>Net Increase In Salary</t>
  </si>
  <si>
    <t>Loan Payments</t>
  </si>
  <si>
    <t>After Tax Opport. Cost</t>
  </si>
  <si>
    <t>Net Summer Earnings</t>
  </si>
  <si>
    <t>Net Cash Flow of Investment</t>
  </si>
  <si>
    <t>Cum. Sum (Breakeven not discounted)</t>
  </si>
  <si>
    <t>IRR</t>
  </si>
  <si>
    <t>Final Year Growth Rate:</t>
  </si>
  <si>
    <t>NPV</t>
  </si>
  <si>
    <t>Terminal Value:</t>
  </si>
  <si>
    <t>Interest Rate</t>
  </si>
  <si>
    <t>Amortization Period</t>
  </si>
  <si>
    <t>Loan Value:</t>
  </si>
  <si>
    <t>Amortization schedule</t>
  </si>
  <si>
    <t>Year</t>
  </si>
  <si>
    <t>Beg. Balance</t>
  </si>
  <si>
    <t>Interest</t>
  </si>
  <si>
    <t>Principal</t>
  </si>
  <si>
    <t>Total Payment</t>
  </si>
  <si>
    <t>Ending Balance</t>
  </si>
  <si>
    <t>(per month)</t>
  </si>
  <si>
    <t xml:space="preserve">Note: Model does not include the </t>
  </si>
  <si>
    <t>Net Out of Pocket Cash Cost</t>
  </si>
  <si>
    <t>MA State Tax:</t>
  </si>
  <si>
    <t>Standard Deduction</t>
  </si>
  <si>
    <t>Inflation Projection</t>
  </si>
  <si>
    <t>Pre MBA Salary (after std. deduction)</t>
  </si>
  <si>
    <t>Post MBA Salary (after std. deduction)</t>
  </si>
  <si>
    <t>Loan Durat. (10 or 20)</t>
  </si>
  <si>
    <t>Business School Expenses</t>
  </si>
  <si>
    <t>Opportunity Cost</t>
  </si>
  <si>
    <t>Aft./Tax Sum. Earnings</t>
  </si>
  <si>
    <t>Business School Salary Info.</t>
  </si>
  <si>
    <t>Discount Rate Assump.</t>
  </si>
  <si>
    <t>Line Item</t>
  </si>
  <si>
    <t>benefit of writing off your education.</t>
  </si>
  <si>
    <t>Cash Exp. (Non loan) Yr.1</t>
  </si>
  <si>
    <t>Cash Exp. (Non loan) Yr.2</t>
  </si>
  <si>
    <t>Yrly.Living Exp. Pre-MBA</t>
  </si>
  <si>
    <t>Enter Current Age (yrs)</t>
  </si>
  <si>
    <t>TV "Constant" or "Growing"</t>
  </si>
</sst>
</file>

<file path=xl/styles.xml><?xml version="1.0" encoding="utf-8"?>
<styleSheet xmlns="http://schemas.openxmlformats.org/spreadsheetml/2006/main">
  <numFmts count="1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#,##0.0_);\(#,##0.0\)"/>
    <numFmt numFmtId="168" formatCode="_(* #,##0.0_);_(* \(#,##0.0\);_(* &quot;-&quot;??_);_(@_)"/>
    <numFmt numFmtId="169" formatCode="_(* #,##0_);_(* \(#,##0\);_(* &quot;-&quot;??_);_(@_)"/>
    <numFmt numFmtId="170" formatCode="#,##0.0"/>
    <numFmt numFmtId="171" formatCode="mm/dd/yy"/>
    <numFmt numFmtId="172" formatCode="0.0"/>
    <numFmt numFmtId="173" formatCode="0.0%"/>
    <numFmt numFmtId="174" formatCode="0.0\ \ \ \ \ "/>
    <numFmt numFmtId="175" formatCode="0.00\ &quot;Years&quot;"/>
    <numFmt numFmtId="176" formatCode="#,##0.0_)\ \ \ \ ;\(#,##0.0\)\ \ \ \ "/>
    <numFmt numFmtId="177" formatCode="yyyy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\ \ \ \ "/>
    <numFmt numFmtId="186" formatCode="0.0\ \ \ \ \ \ \ "/>
    <numFmt numFmtId="187" formatCode="0.0\ \ \ "/>
    <numFmt numFmtId="188" formatCode="0.0\ \ \ \ \ \ "/>
    <numFmt numFmtId="189" formatCode="0.0\ \ "/>
    <numFmt numFmtId="190" formatCode="0.0\ "/>
    <numFmt numFmtId="191" formatCode="0.00\ \ "/>
    <numFmt numFmtId="192" formatCode="0.00\ "/>
    <numFmt numFmtId="193" formatCode="0\ \ "/>
    <numFmt numFmtId="194" formatCode="0\ \ \ "/>
    <numFmt numFmtId="195" formatCode="0.00_)"/>
    <numFmt numFmtId="196" formatCode="#,##0,"/>
    <numFmt numFmtId="197" formatCode="0.0000%"/>
    <numFmt numFmtId="198" formatCode="0.0&quot;%&quot;"/>
    <numFmt numFmtId="199" formatCode="&quot;NA&quot;"/>
    <numFmt numFmtId="200" formatCode=";;;"/>
    <numFmt numFmtId="201" formatCode="&quot;--&quot;"/>
    <numFmt numFmtId="202" formatCode="&quot;$&quot;#,##0.0_);\(&quot;$&quot;#,##0.0\)"/>
    <numFmt numFmtId="203" formatCode="&quot;$&quot;#,##0\);\(&quot;$&quot;#,##0\)"/>
    <numFmt numFmtId="204" formatCode="&quot;$&quot;#,##0"/>
    <numFmt numFmtId="205" formatCode="&quot;$&quot;#,##0.0"/>
    <numFmt numFmtId="206" formatCode="0&quot;%&quot;"/>
    <numFmt numFmtId="207" formatCode="#,##0.0_);\(#,##0\)"/>
    <numFmt numFmtId="208" formatCode="0.0000000000"/>
    <numFmt numFmtId="209" formatCode="0.0&quot;%&quot;\ \ "/>
    <numFmt numFmtId="210" formatCode="@\ \ \ \ "/>
    <numFmt numFmtId="211" formatCode="@\ \ \ \ \ "/>
    <numFmt numFmtId="212" formatCode="#,##0.000_);\(#,##0.000\)"/>
    <numFmt numFmtId="213" formatCode="0.0&quot;%&quot;\ \ \ \ "/>
    <numFmt numFmtId="214" formatCode="0.0&quot;%&quot;\ \ \ \ \ "/>
    <numFmt numFmtId="215" formatCode="0.0&quot;%&quot;\ \ \ "/>
    <numFmt numFmtId="216" formatCode="0.0&quot;%&quot;\ "/>
    <numFmt numFmtId="217" formatCode="#,##0.000"/>
    <numFmt numFmtId="218" formatCode="#,##0.0000"/>
    <numFmt numFmtId="219" formatCode="0%\ \ \ "/>
    <numFmt numFmtId="220" formatCode="0.0%\ \ \ "/>
    <numFmt numFmtId="221" formatCode="0.0%\ \ "/>
    <numFmt numFmtId="222" formatCode="&quot;$&quot;#,##0_);\(&quot;$&quot;#,##0\)\ \ \ "/>
    <numFmt numFmtId="223" formatCode="0.0\ \ \ \ \ \ \ \ "/>
    <numFmt numFmtId="224" formatCode="0.00\ \ \ \ "/>
    <numFmt numFmtId="225" formatCode="0.0\ \ \ \ \ \ \ \ \ \ \ "/>
    <numFmt numFmtId="226" formatCode="0.0\ \ \ \ \ \ \ \ \ \ \ \ \ \ \ \ \ \ \ "/>
    <numFmt numFmtId="227" formatCode="0.0\ \ \ \ \ \ \ \ \ \ \ \ \ \ \ \ "/>
    <numFmt numFmtId="228" formatCode="0.0\ \ \ \ \ \ \ \ \ \ \ \ \ \ \ \ \ "/>
    <numFmt numFmtId="229" formatCode="0.0\ \ \ \ \ \ \ \ \ \ \ \ \ \ \ \ \ \ "/>
    <numFmt numFmtId="230" formatCode="0\Q"/>
    <numFmt numFmtId="231" formatCode="yy"/>
    <numFmt numFmtId="232" formatCode="0.00&quot; Years&quot;"/>
    <numFmt numFmtId="233" formatCode="0&quot; Years&quot;"/>
    <numFmt numFmtId="234" formatCode="\:\:\:"/>
    <numFmt numFmtId="235" formatCode=".0."/>
    <numFmt numFmtId="236" formatCode="0\ &quot;Year&quot;"/>
    <numFmt numFmtId="237" formatCode="[Red]0.00%"/>
    <numFmt numFmtId="238" formatCode="&quot;$&quot;#,##0;\(&quot;$&quot;#,##0\)"/>
    <numFmt numFmtId="239" formatCode="0.0\ \ \ \ \ \ \ \ \ \ "/>
    <numFmt numFmtId="240" formatCode="0.00\ \ \ \ \ "/>
    <numFmt numFmtId="241" formatCode="0.00\ \ \ \ \ \ \ \ \ "/>
    <numFmt numFmtId="242" formatCode="&quot;$&quot;#,##0_);\(&quot;$&quot;#,##0\)\ \ "/>
    <numFmt numFmtId="243" formatCode="&quot;$&quot;#,##0_);\(&quot;$&quot;#,##0\)\ \ \ \ "/>
    <numFmt numFmtId="244" formatCode="0\ \ \ \ \ "/>
    <numFmt numFmtId="245" formatCode="0.0\ \ \ \ \ \ \ \ \ \ \ \ "/>
    <numFmt numFmtId="246" formatCode="0.00%\ \ \ \ \ \ \ \ "/>
    <numFmt numFmtId="247" formatCode="0.0%\ \ \ \ \ \ \ \ \ \ \ \ "/>
    <numFmt numFmtId="248" formatCode="0.00%\ \ \ "/>
    <numFmt numFmtId="249" formatCode="0%\ \ \ \ \ \ \ \ "/>
    <numFmt numFmtId="250" formatCode="0.0%\ "/>
    <numFmt numFmtId="251" formatCode="&quot;DRAFT&quot;\ m/d/yy"/>
    <numFmt numFmtId="252" formatCode="0.000\ \ \ "/>
    <numFmt numFmtId="253" formatCode="0.00\ \ \ "/>
    <numFmt numFmtId="254" formatCode="0.%"/>
    <numFmt numFmtId="255" formatCode="0%\ \ "/>
    <numFmt numFmtId="256" formatCode="0%\ "/>
    <numFmt numFmtId="257" formatCode="0.00%\ \ \ \ \ "/>
    <numFmt numFmtId="258" formatCode="0%\ \ \ \ \ "/>
    <numFmt numFmtId="259" formatCode="0%\ \ \ \ "/>
    <numFmt numFmtId="260" formatCode="0\ \ \ \ "/>
    <numFmt numFmtId="261" formatCode="&quot;$&quot;0"/>
    <numFmt numFmtId="262" formatCode="&quot;$&quot;0\ \ \ \ "/>
    <numFmt numFmtId="263" formatCode="0.00%\ \ \ \ "/>
    <numFmt numFmtId="264" formatCode="0.00%\ \ "/>
    <numFmt numFmtId="265" formatCode="0.0%\ \ \ \ \ "/>
    <numFmt numFmtId="266" formatCode="0.0%\ \ \ \ "/>
    <numFmt numFmtId="267" formatCode="mmm\ \ d\ &quot;,&quot;\ yyyy"/>
    <numFmt numFmtId="268" formatCode="mmmm\ \ d\ &quot;,&quot;\ yyyy"/>
    <numFmt numFmtId="269" formatCode="mmmm\ dd&quot;,&quot;\ yy"/>
    <numFmt numFmtId="270" formatCode="mmmm\ dd&quot;,&quot;\ yyyy"/>
    <numFmt numFmtId="271" formatCode="mmmm\ \ d&quot;,&quot;\ yyyy"/>
    <numFmt numFmtId="272" formatCode="0.00000\ \ "/>
    <numFmt numFmtId="273" formatCode="0.000000\ \ "/>
    <numFmt numFmtId="274" formatCode="0&quot;%&quot;\ \ \ "/>
    <numFmt numFmtId="275" formatCode="0&quot;%&quot;\ \ \ \ \ "/>
    <numFmt numFmtId="276" formatCode="&quot;As of&quot;\ mmmm\ dd&quot;,&quot;\ yyyy"/>
    <numFmt numFmtId="277" formatCode="mmmm\ d&quot;,&quot;\ yyyy"/>
    <numFmt numFmtId="278" formatCode="mmm/d/yy"/>
    <numFmt numFmtId="279" formatCode="mmmm/d/yy"/>
    <numFmt numFmtId="280" formatCode="mmmm\,dd\ yyyy"/>
    <numFmt numFmtId="281" formatCode="mmmm\ dd\,\ yyyy"/>
    <numFmt numFmtId="282" formatCode="m/d"/>
    <numFmt numFmtId="283" formatCode="mmmm\ d\,\ yyyy"/>
    <numFmt numFmtId="284" formatCode="&quot;$&quot;#,##0_);\(&quot;$&quot;#,##0\)\ \ \ \ \ "/>
    <numFmt numFmtId="285" formatCode="&quot;$&quot;#,##0.00"/>
    <numFmt numFmtId="286" formatCode="&quot;$&quot;0\ &quot;per month&quot;"/>
    <numFmt numFmtId="287" formatCode="&quot;$&quot;0\ &quot; /month&quot;"/>
    <numFmt numFmtId="288" formatCode="&quot;$&quot;0\ &quot;/month&quot;"/>
    <numFmt numFmtId="289" formatCode="&quot;Age&quot;\ 0"/>
    <numFmt numFmtId="290" formatCode="0.00&quot;% growth&quot;"/>
    <numFmt numFmtId="291" formatCode="0\ &quot;yrs. old&quot;"/>
    <numFmt numFmtId="292" formatCode="&quot;$&quot;0\ \ "/>
    <numFmt numFmtId="293" formatCode="&quot;$&quot;#,##0\ \ \ "/>
    <numFmt numFmtId="294" formatCode="&quot;$&quot;#,##0\ \ "/>
    <numFmt numFmtId="295" formatCode="&quot;$&quot;#,##0\ "/>
    <numFmt numFmtId="296" formatCode="0.00&quot;% Gr. Rate&quot;"/>
    <numFmt numFmtId="297" formatCode="0\ &quot;years&quot;"/>
    <numFmt numFmtId="298" formatCode="[Black]#\ ??/??;[Red]\-#\ ??/??"/>
    <numFmt numFmtId="299" formatCode="#,###"/>
    <numFmt numFmtId="300" formatCode="[$$-409]#,###"/>
  </numFmts>
  <fonts count="2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MS Sans Serif"/>
      <family val="0"/>
    </font>
    <font>
      <sz val="10"/>
      <name val="Helv"/>
      <family val="0"/>
    </font>
    <font>
      <u val="single"/>
      <sz val="10"/>
      <color indexed="12"/>
      <name val="Times New Roman"/>
      <family val="0"/>
    </font>
    <font>
      <sz val="12"/>
      <name val="Helv"/>
      <family val="0"/>
    </font>
    <font>
      <sz val="10"/>
      <name val="Tms Rmn"/>
      <family val="0"/>
    </font>
    <font>
      <sz val="10"/>
      <name val="Courier"/>
      <family val="0"/>
    </font>
    <font>
      <sz val="10"/>
      <name val="Arial"/>
      <family val="0"/>
    </font>
    <font>
      <sz val="10"/>
      <name val="CG Times (E1)"/>
      <family val="0"/>
    </font>
    <font>
      <sz val="8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8.5"/>
      <color indexed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7" fillId="0" borderId="0">
      <alignment/>
      <protection/>
    </xf>
    <xf numFmtId="0" fontId="8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9" fillId="0" borderId="0">
      <alignment/>
      <protection/>
    </xf>
    <xf numFmtId="0" fontId="0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0" fontId="4" fillId="0" borderId="0">
      <alignment/>
      <protection/>
    </xf>
    <xf numFmtId="164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0" fontId="0" fillId="0" borderId="0">
      <alignment/>
      <protection/>
    </xf>
    <xf numFmtId="164" fontId="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164" fontId="0" fillId="0" borderId="0" xfId="0" applyAlignment="1">
      <alignment/>
    </xf>
    <xf numFmtId="0" fontId="1" fillId="0" borderId="0" xfId="92" applyFont="1">
      <alignment/>
      <protection/>
    </xf>
    <xf numFmtId="0" fontId="0" fillId="0" borderId="0" xfId="92">
      <alignment/>
      <protection/>
    </xf>
    <xf numFmtId="164" fontId="1" fillId="0" borderId="0" xfId="0" applyFont="1" applyAlignment="1">
      <alignment horizontal="center"/>
    </xf>
    <xf numFmtId="204" fontId="12" fillId="0" borderId="0" xfId="92" applyNumberFormat="1" applyFont="1">
      <alignment/>
      <protection/>
    </xf>
    <xf numFmtId="164" fontId="13" fillId="0" borderId="0" xfId="0" applyFont="1" applyAlignment="1">
      <alignment horizontal="left"/>
    </xf>
    <xf numFmtId="204" fontId="0" fillId="0" borderId="1" xfId="0" applyNumberFormat="1" applyBorder="1" applyAlignment="1">
      <alignment/>
    </xf>
    <xf numFmtId="0" fontId="2" fillId="0" borderId="0" xfId="92" applyFont="1" applyAlignment="1">
      <alignment horizontal="right"/>
      <protection/>
    </xf>
    <xf numFmtId="10" fontId="0" fillId="0" borderId="2" xfId="0" applyNumberFormat="1" applyBorder="1" applyAlignment="1">
      <alignment/>
    </xf>
    <xf numFmtId="0" fontId="0" fillId="0" borderId="0" xfId="92" applyAlignment="1">
      <alignment horizontal="center"/>
      <protection/>
    </xf>
    <xf numFmtId="0" fontId="14" fillId="0" borderId="0" xfId="92" applyFont="1">
      <alignment/>
      <protection/>
    </xf>
    <xf numFmtId="164" fontId="12" fillId="0" borderId="0" xfId="0" applyFont="1" applyAlignment="1">
      <alignment/>
    </xf>
    <xf numFmtId="289" fontId="0" fillId="0" borderId="0" xfId="92" applyNumberFormat="1" applyAlignment="1">
      <alignment horizontal="center"/>
      <protection/>
    </xf>
    <xf numFmtId="0" fontId="15" fillId="0" borderId="0" xfId="92" applyFont="1" applyAlignment="1">
      <alignment horizontal="center"/>
      <protection/>
    </xf>
    <xf numFmtId="0" fontId="0" fillId="0" borderId="0" xfId="92" applyAlignment="1">
      <alignment horizontal="left"/>
      <protection/>
    </xf>
    <xf numFmtId="204" fontId="0" fillId="0" borderId="0" xfId="92" applyNumberFormat="1">
      <alignment/>
      <protection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204" fontId="0" fillId="0" borderId="0" xfId="0" applyNumberFormat="1" applyBorder="1" applyAlignment="1">
      <alignment/>
    </xf>
    <xf numFmtId="0" fontId="0" fillId="0" borderId="0" xfId="92" applyBorder="1">
      <alignment/>
      <protection/>
    </xf>
    <xf numFmtId="204" fontId="0" fillId="0" borderId="4" xfId="0" applyNumberFormat="1" applyBorder="1" applyAlignment="1">
      <alignment/>
    </xf>
    <xf numFmtId="10" fontId="0" fillId="0" borderId="0" xfId="0" applyNumberFormat="1" applyBorder="1" applyAlignment="1">
      <alignment/>
    </xf>
    <xf numFmtId="164" fontId="0" fillId="0" borderId="5" xfId="0" applyBorder="1" applyAlignment="1">
      <alignment/>
    </xf>
    <xf numFmtId="10" fontId="0" fillId="0" borderId="6" xfId="0" applyNumberFormat="1" applyBorder="1" applyAlignment="1">
      <alignment/>
    </xf>
    <xf numFmtId="204" fontId="0" fillId="0" borderId="6" xfId="0" applyNumberFormat="1" applyBorder="1" applyAlignment="1">
      <alignment/>
    </xf>
    <xf numFmtId="0" fontId="0" fillId="0" borderId="6" xfId="92" applyBorder="1">
      <alignment/>
      <protection/>
    </xf>
    <xf numFmtId="204" fontId="0" fillId="0" borderId="7" xfId="0" applyNumberFormat="1" applyBorder="1" applyAlignment="1">
      <alignment/>
    </xf>
    <xf numFmtId="0" fontId="0" fillId="0" borderId="0" xfId="92" applyFont="1" applyAlignment="1">
      <alignment horizontal="left"/>
      <protection/>
    </xf>
    <xf numFmtId="0" fontId="0" fillId="0" borderId="0" xfId="92" applyFont="1">
      <alignment/>
      <protection/>
    </xf>
    <xf numFmtId="204" fontId="0" fillId="0" borderId="0" xfId="92" applyNumberFormat="1" applyFont="1">
      <alignment/>
      <protection/>
    </xf>
    <xf numFmtId="10" fontId="2" fillId="0" borderId="0" xfId="92" applyNumberFormat="1" applyFont="1" applyAlignment="1">
      <alignment horizontal="center"/>
      <protection/>
    </xf>
    <xf numFmtId="10" fontId="0" fillId="0" borderId="0" xfId="92" applyNumberFormat="1" applyFont="1">
      <alignment/>
      <protection/>
    </xf>
    <xf numFmtId="3" fontId="0" fillId="0" borderId="0" xfId="92" applyNumberFormat="1" applyFont="1">
      <alignment/>
      <protection/>
    </xf>
    <xf numFmtId="204" fontId="1" fillId="0" borderId="2" xfId="92" applyNumberFormat="1" applyFont="1" applyBorder="1">
      <alignment/>
      <protection/>
    </xf>
    <xf numFmtId="0" fontId="1" fillId="0" borderId="8" xfId="92" applyFont="1" applyBorder="1">
      <alignment/>
      <protection/>
    </xf>
    <xf numFmtId="0" fontId="1" fillId="0" borderId="9" xfId="92" applyFont="1" applyBorder="1">
      <alignment/>
      <protection/>
    </xf>
    <xf numFmtId="204" fontId="1" fillId="0" borderId="9" xfId="92" applyNumberFormat="1" applyFont="1" applyBorder="1">
      <alignment/>
      <protection/>
    </xf>
    <xf numFmtId="204" fontId="1" fillId="0" borderId="10" xfId="92" applyNumberFormat="1" applyFont="1" applyBorder="1">
      <alignment/>
      <protection/>
    </xf>
    <xf numFmtId="204" fontId="1" fillId="0" borderId="0" xfId="92" applyNumberFormat="1" applyFont="1">
      <alignment/>
      <protection/>
    </xf>
    <xf numFmtId="0" fontId="0" fillId="0" borderId="0" xfId="92" applyAlignment="1">
      <alignment horizontal="right"/>
      <protection/>
    </xf>
    <xf numFmtId="173" fontId="1" fillId="0" borderId="0" xfId="92" applyNumberFormat="1" applyFont="1">
      <alignment/>
      <protection/>
    </xf>
    <xf numFmtId="10" fontId="0" fillId="0" borderId="0" xfId="92" applyNumberFormat="1">
      <alignment/>
      <protection/>
    </xf>
    <xf numFmtId="0" fontId="1" fillId="0" borderId="0" xfId="92" applyFont="1" applyAlignment="1">
      <alignment horizontal="right"/>
      <protection/>
    </xf>
    <xf numFmtId="173" fontId="16" fillId="0" borderId="0" xfId="119" applyNumberFormat="1" applyFont="1" applyAlignment="1">
      <alignment/>
    </xf>
    <xf numFmtId="297" fontId="16" fillId="0" borderId="0" xfId="92" applyNumberFormat="1" applyFont="1">
      <alignment/>
      <protection/>
    </xf>
    <xf numFmtId="0" fontId="0" fillId="0" borderId="0" xfId="92" applyFont="1" applyAlignment="1">
      <alignment horizontal="right"/>
      <protection/>
    </xf>
    <xf numFmtId="0" fontId="15" fillId="0" borderId="0" xfId="92" applyFont="1" applyAlignment="1">
      <alignment horizontal="right"/>
      <protection/>
    </xf>
    <xf numFmtId="204" fontId="0" fillId="0" borderId="0" xfId="15" applyNumberFormat="1" applyFont="1" applyAlignment="1">
      <alignment/>
    </xf>
    <xf numFmtId="204" fontId="1" fillId="0" borderId="0" xfId="15" applyNumberFormat="1" applyFont="1" applyAlignment="1">
      <alignment/>
    </xf>
    <xf numFmtId="204" fontId="16" fillId="0" borderId="0" xfId="15" applyNumberFormat="1" applyFont="1" applyAlignment="1">
      <alignment/>
    </xf>
    <xf numFmtId="294" fontId="0" fillId="0" borderId="0" xfId="92" applyNumberFormat="1" applyFont="1" applyAlignment="1">
      <alignment horizontal="right"/>
      <protection/>
    </xf>
    <xf numFmtId="295" fontId="16" fillId="0" borderId="2" xfId="92" applyNumberFormat="1" applyFont="1" applyBorder="1" applyAlignment="1">
      <alignment horizontal="center"/>
      <protection/>
    </xf>
    <xf numFmtId="10" fontId="17" fillId="0" borderId="2" xfId="92" applyNumberFormat="1" applyFont="1" applyBorder="1" applyAlignment="1">
      <alignment horizontal="center"/>
      <protection/>
    </xf>
    <xf numFmtId="294" fontId="16" fillId="0" borderId="2" xfId="92" applyNumberFormat="1" applyFont="1" applyBorder="1" applyAlignment="1">
      <alignment horizontal="center"/>
      <protection/>
    </xf>
    <xf numFmtId="10" fontId="16" fillId="0" borderId="2" xfId="92" applyNumberFormat="1" applyFont="1" applyBorder="1" applyAlignment="1">
      <alignment horizontal="center"/>
      <protection/>
    </xf>
    <xf numFmtId="297" fontId="16" fillId="0" borderId="2" xfId="92" applyNumberFormat="1" applyFont="1" applyBorder="1" applyAlignment="1">
      <alignment horizontal="center"/>
      <protection/>
    </xf>
    <xf numFmtId="291" fontId="18" fillId="0" borderId="2" xfId="92" applyNumberFormat="1" applyFont="1" applyBorder="1">
      <alignment/>
      <protection/>
    </xf>
    <xf numFmtId="204" fontId="16" fillId="0" borderId="2" xfId="92" applyNumberFormat="1" applyFont="1" applyBorder="1" applyAlignment="1">
      <alignment horizontal="center"/>
      <protection/>
    </xf>
    <xf numFmtId="164" fontId="16" fillId="0" borderId="2" xfId="0" applyFont="1" applyBorder="1" applyAlignment="1">
      <alignment horizontal="center"/>
    </xf>
    <xf numFmtId="0" fontId="0" fillId="0" borderId="0" xfId="92" applyBorder="1" applyAlignment="1">
      <alignment horizontal="left"/>
      <protection/>
    </xf>
    <xf numFmtId="204" fontId="0" fillId="0" borderId="0" xfId="92" applyNumberFormat="1" applyBorder="1">
      <alignment/>
      <protection/>
    </xf>
    <xf numFmtId="0" fontId="0" fillId="0" borderId="6" xfId="92" applyBorder="1" applyAlignment="1">
      <alignment horizontal="left"/>
      <protection/>
    </xf>
    <xf numFmtId="204" fontId="0" fillId="0" borderId="6" xfId="92" applyNumberFormat="1" applyBorder="1">
      <alignment/>
      <protection/>
    </xf>
    <xf numFmtId="10" fontId="2" fillId="0" borderId="0" xfId="92" applyNumberFormat="1" applyFont="1" applyBorder="1" applyAlignment="1">
      <alignment horizontal="center"/>
      <protection/>
    </xf>
    <xf numFmtId="0" fontId="0" fillId="0" borderId="6" xfId="92" applyFont="1" applyBorder="1" applyAlignment="1">
      <alignment horizontal="left"/>
      <protection/>
    </xf>
    <xf numFmtId="10" fontId="2" fillId="0" borderId="6" xfId="92" applyNumberFormat="1" applyFont="1" applyBorder="1" applyAlignment="1">
      <alignment horizontal="center"/>
      <protection/>
    </xf>
    <xf numFmtId="0" fontId="19" fillId="0" borderId="0" xfId="92" applyFont="1">
      <alignment/>
      <protection/>
    </xf>
    <xf numFmtId="164" fontId="19" fillId="0" borderId="0" xfId="0" applyFont="1" applyAlignment="1">
      <alignment horizontal="left"/>
    </xf>
    <xf numFmtId="173" fontId="20" fillId="2" borderId="11" xfId="92" applyNumberFormat="1" applyFont="1" applyFill="1" applyBorder="1">
      <alignment/>
      <protection/>
    </xf>
    <xf numFmtId="204" fontId="20" fillId="2" borderId="7" xfId="92" applyNumberFormat="1" applyFont="1" applyFill="1" applyBorder="1">
      <alignment/>
      <protection/>
    </xf>
    <xf numFmtId="0" fontId="20" fillId="2" borderId="12" xfId="92" applyFont="1" applyFill="1" applyBorder="1" applyAlignment="1">
      <alignment horizontal="right"/>
      <protection/>
    </xf>
    <xf numFmtId="0" fontId="20" fillId="2" borderId="5" xfId="92" applyFont="1" applyFill="1" applyBorder="1" applyAlignment="1">
      <alignment horizontal="right"/>
      <protection/>
    </xf>
    <xf numFmtId="164" fontId="12" fillId="0" borderId="0" xfId="0" applyFont="1" applyAlignment="1">
      <alignment horizontal="left"/>
    </xf>
  </cellXfs>
  <cellStyles count="106">
    <cellStyle name="Normal" xfId="0"/>
    <cellStyle name="Comma" xfId="15"/>
    <cellStyle name="Comma [0]" xfId="16"/>
    <cellStyle name="Comma [0]_AA_CHART" xfId="17"/>
    <cellStyle name="Comma [0]_ASST_PIE" xfId="18"/>
    <cellStyle name="Comma [0]_AT&amp;RT_A" xfId="19"/>
    <cellStyle name="Comma [0]_ATSUMM" xfId="20"/>
    <cellStyle name="Comma [0]_CALD_RTN" xfId="21"/>
    <cellStyle name="Comma [0]_ENDOW" xfId="22"/>
    <cellStyle name="Comma [0]_HRGLASS" xfId="23"/>
    <cellStyle name="Comma [0]_HRGLASS (2)" xfId="24"/>
    <cellStyle name="Comma [0]_MEMO" xfId="25"/>
    <cellStyle name="Comma [0]_TF_FY" xfId="26"/>
    <cellStyle name="Comma_AA" xfId="27"/>
    <cellStyle name="Comma_AA_CHART" xfId="28"/>
    <cellStyle name="Comma_ASST_PIE" xfId="29"/>
    <cellStyle name="Comma_AT&amp;RT_A" xfId="30"/>
    <cellStyle name="Comma_ATSUMM" xfId="31"/>
    <cellStyle name="Comma_CALD_RTN" xfId="32"/>
    <cellStyle name="Comma_ENDOW" xfId="33"/>
    <cellStyle name="Comma_HRGLASS" xfId="34"/>
    <cellStyle name="Comma_HRGLASS (2)" xfId="35"/>
    <cellStyle name="Comma_MEMO" xfId="36"/>
    <cellStyle name="Comma_TF" xfId="37"/>
    <cellStyle name="Comma_TF_FY" xfId="38"/>
    <cellStyle name="Comma_TF_FY_1" xfId="39"/>
    <cellStyle name="Comma_TF_PERF" xfId="40"/>
    <cellStyle name="Currency" xfId="41"/>
    <cellStyle name="Currency [0]" xfId="42"/>
    <cellStyle name="Currency [0]_AA_CHART" xfId="43"/>
    <cellStyle name="Currency [0]_ASST_PIE" xfId="44"/>
    <cellStyle name="Currency [0]_AT&amp;RT_A" xfId="45"/>
    <cellStyle name="Currency [0]_ATSUMM" xfId="46"/>
    <cellStyle name="Currency [0]_CALD_RTN" xfId="47"/>
    <cellStyle name="Currency [0]_ENDOW" xfId="48"/>
    <cellStyle name="Currency [0]_HRGLASS" xfId="49"/>
    <cellStyle name="Currency [0]_HRGLASS (2)" xfId="50"/>
    <cellStyle name="Currency [0]_MEMO" xfId="51"/>
    <cellStyle name="Currency [0]_TF_FY" xfId="52"/>
    <cellStyle name="Currency_AA" xfId="53"/>
    <cellStyle name="Currency_AA_CHART" xfId="54"/>
    <cellStyle name="Currency_ASST_PIE" xfId="55"/>
    <cellStyle name="Currency_AT&amp;RT_A" xfId="56"/>
    <cellStyle name="Currency_ATSUMM" xfId="57"/>
    <cellStyle name="Currency_CALD_RTN" xfId="58"/>
    <cellStyle name="Currency_ENDOW" xfId="59"/>
    <cellStyle name="Currency_HRGLASS" xfId="60"/>
    <cellStyle name="Currency_HRGLASS (2)" xfId="61"/>
    <cellStyle name="Currency_MEMO" xfId="62"/>
    <cellStyle name="Currency_TF_FY" xfId="63"/>
    <cellStyle name="Hyperlink" xfId="64"/>
    <cellStyle name="Normal_A" xfId="65"/>
    <cellStyle name="Normal_AA" xfId="66"/>
    <cellStyle name="Normal_AA_CHART" xfId="67"/>
    <cellStyle name="Normal_AA_SCHDT" xfId="68"/>
    <cellStyle name="Normal_ALT. ASSETS" xfId="69"/>
    <cellStyle name="Normal_Anchor" xfId="70"/>
    <cellStyle name="Normal_Asset Allocation" xfId="71"/>
    <cellStyle name="Normal_AT&amp;RT_A" xfId="72"/>
    <cellStyle name="Normal_ATSUMM" xfId="73"/>
    <cellStyle name="Normal_CLEV_INC" xfId="74"/>
    <cellStyle name="Normal_Cover Page" xfId="75"/>
    <cellStyle name="Normal_Custom" xfId="76"/>
    <cellStyle name="Normal_Data" xfId="77"/>
    <cellStyle name="Normal_DISTRMD" xfId="78"/>
    <cellStyle name="Normal_Dollar Values" xfId="79"/>
    <cellStyle name="Normal_ENDOW" xfId="80"/>
    <cellStyle name="Normal_EVTARBMD" xfId="81"/>
    <cellStyle name="Normal_Exhibit 21" xfId="82"/>
    <cellStyle name="Normal_FIARBMD" xfId="83"/>
    <cellStyle name="Normal_Fresh Foundation AA" xfId="84"/>
    <cellStyle name="Normal_Fresh Foundation Perf." xfId="85"/>
    <cellStyle name="Normal_FRONTQTR" xfId="86"/>
    <cellStyle name="Normal_GLMCHFMD" xfId="87"/>
    <cellStyle name="Normal_HBR_EQ" xfId="88"/>
    <cellStyle name="Normal_INVESTMENTS" xfId="89"/>
    <cellStyle name="Normal_IRA401K" xfId="90"/>
    <cellStyle name="Normal_Korea Analysis" xfId="91"/>
    <cellStyle name="Normal_MBA Investment Calculator" xfId="92"/>
    <cellStyle name="Normal_Mgr. AACR StDev. Exhibit" xfId="93"/>
    <cellStyle name="Normal_Misc Totals" xfId="94"/>
    <cellStyle name="Normal_NET EQUITY" xfId="95"/>
    <cellStyle name="Normal_NET FIXED INCOME" xfId="96"/>
    <cellStyle name="Normal_Pie Chart" xfId="97"/>
    <cellStyle name="Normal_Pie Charts" xfId="98"/>
    <cellStyle name="Normal_PRCIP_GR" xfId="99"/>
    <cellStyle name="Normal_PRI_GR" xfId="100"/>
    <cellStyle name="Normal_PRIN_GRO" xfId="101"/>
    <cellStyle name="Normal_RECM87" xfId="102"/>
    <cellStyle name="Normal_RECUM" xfId="103"/>
    <cellStyle name="Normal_RERANK" xfId="104"/>
    <cellStyle name="Normal_Risk Return Exhibit" xfId="105"/>
    <cellStyle name="Normal_Russia Analysis" xfId="106"/>
    <cellStyle name="Normal_Sheet1" xfId="107"/>
    <cellStyle name="Normal_Sheet4" xfId="108"/>
    <cellStyle name="Normal_SHSELLMD" xfId="109"/>
    <cellStyle name="Normal_SMCO90" xfId="110"/>
    <cellStyle name="Normal_SMT_GR" xfId="111"/>
    <cellStyle name="Normal_SMT_VAL" xfId="112"/>
    <cellStyle name="Normal_TF" xfId="113"/>
    <cellStyle name="Normal_TF_FY" xfId="114"/>
    <cellStyle name="Normal_TF_FY_1" xfId="115"/>
    <cellStyle name="Normal_TF_PERF" xfId="116"/>
    <cellStyle name="Normal_TOTAL" xfId="117"/>
    <cellStyle name="Normal_Total Portfolio" xfId="118"/>
    <cellStyle name="Percent" xfId="119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9"/>
  <sheetViews>
    <sheetView tabSelected="1" zoomScale="88" zoomScaleNormal="88" workbookViewId="0" topLeftCell="A1">
      <selection activeCell="A1" sqref="A1"/>
    </sheetView>
  </sheetViews>
  <sheetFormatPr defaultColWidth="9.33203125" defaultRowHeight="12.75"/>
  <cols>
    <col min="1" max="1" width="25.33203125" style="2" customWidth="1"/>
    <col min="2" max="2" width="12.83203125" style="2" customWidth="1"/>
    <col min="3" max="4" width="12.33203125" style="2" customWidth="1"/>
    <col min="5" max="6" width="12.16015625" style="2" customWidth="1"/>
    <col min="7" max="7" width="11.16015625" style="2" customWidth="1"/>
    <col min="8" max="8" width="10.83203125" style="2" customWidth="1"/>
    <col min="9" max="10" width="10.33203125" style="2" customWidth="1"/>
    <col min="11" max="11" width="11.16015625" style="2" bestFit="1" customWidth="1"/>
    <col min="12" max="12" width="10.33203125" style="2" customWidth="1"/>
    <col min="13" max="20" width="10.83203125" style="2" customWidth="1"/>
    <col min="21" max="22" width="11.83203125" style="2" customWidth="1"/>
    <col min="23" max="24" width="12.83203125" style="2" customWidth="1"/>
    <col min="25" max="25" width="9.83203125" style="2" bestFit="1" customWidth="1"/>
    <col min="26" max="26" width="9.33203125" style="2" customWidth="1"/>
    <col min="27" max="27" width="14.83203125" style="2" customWidth="1"/>
    <col min="28" max="29" width="9.33203125" style="2" customWidth="1"/>
    <col min="30" max="31" width="14.83203125" style="2" customWidth="1"/>
    <col min="32" max="16384" width="9.33203125" style="2" customWidth="1"/>
  </cols>
  <sheetData>
    <row r="1" spans="1:11" ht="12.75">
      <c r="A1" s="66" t="s">
        <v>65</v>
      </c>
      <c r="C1" s="66" t="s">
        <v>64</v>
      </c>
      <c r="F1" s="66" t="s">
        <v>67</v>
      </c>
      <c r="I1" s="67" t="s">
        <v>0</v>
      </c>
      <c r="K1" s="3" t="s">
        <v>1</v>
      </c>
    </row>
    <row r="2" spans="1:11" ht="12" customHeight="1">
      <c r="A2" s="2" t="s">
        <v>2</v>
      </c>
      <c r="B2" s="51">
        <v>50000</v>
      </c>
      <c r="C2" s="2" t="s">
        <v>7</v>
      </c>
      <c r="E2" s="53">
        <v>50000</v>
      </c>
      <c r="F2" s="2" t="s">
        <v>3</v>
      </c>
      <c r="H2" s="53">
        <v>150000</v>
      </c>
      <c r="I2" s="5" t="s">
        <v>4</v>
      </c>
      <c r="K2" s="6">
        <v>25750</v>
      </c>
    </row>
    <row r="3" spans="1:11" ht="12" customHeight="1">
      <c r="A3" s="7" t="s">
        <v>5</v>
      </c>
      <c r="B3" s="52">
        <v>0.08</v>
      </c>
      <c r="C3" s="2" t="s">
        <v>10</v>
      </c>
      <c r="E3" s="54">
        <v>0.08</v>
      </c>
      <c r="G3" s="7" t="s">
        <v>5</v>
      </c>
      <c r="H3" s="52">
        <v>0.08</v>
      </c>
      <c r="I3" s="5" t="s">
        <v>6</v>
      </c>
      <c r="K3" s="8">
        <v>0.15</v>
      </c>
    </row>
    <row r="4" spans="1:11" ht="12" customHeight="1">
      <c r="A4" s="10" t="s">
        <v>18</v>
      </c>
      <c r="B4" s="54">
        <v>0.35</v>
      </c>
      <c r="C4" s="2" t="s">
        <v>63</v>
      </c>
      <c r="E4" s="55">
        <v>20</v>
      </c>
      <c r="F4" s="2" t="s">
        <v>8</v>
      </c>
      <c r="H4" s="57">
        <v>20000</v>
      </c>
      <c r="I4" s="5" t="s">
        <v>9</v>
      </c>
      <c r="K4" s="6">
        <v>62450</v>
      </c>
    </row>
    <row r="5" spans="1:11" ht="12" customHeight="1">
      <c r="A5" s="2" t="s">
        <v>73</v>
      </c>
      <c r="B5" s="51">
        <v>0</v>
      </c>
      <c r="C5" s="2" t="s">
        <v>74</v>
      </c>
      <c r="E5" s="56">
        <v>28</v>
      </c>
      <c r="F5" s="2" t="s">
        <v>11</v>
      </c>
      <c r="H5" s="57">
        <v>30000</v>
      </c>
      <c r="I5" s="5" t="s">
        <v>12</v>
      </c>
      <c r="K5" s="8">
        <v>0.28</v>
      </c>
    </row>
    <row r="6" spans="1:24" ht="12" customHeight="1">
      <c r="A6" s="2" t="s">
        <v>66</v>
      </c>
      <c r="B6" s="51">
        <v>20000</v>
      </c>
      <c r="C6" s="27" t="s">
        <v>60</v>
      </c>
      <c r="E6" s="52">
        <v>0.03</v>
      </c>
      <c r="G6" s="7" t="s">
        <v>13</v>
      </c>
      <c r="H6" s="52">
        <v>0.03</v>
      </c>
      <c r="I6" s="5" t="s">
        <v>14</v>
      </c>
      <c r="K6" s="6">
        <v>130250</v>
      </c>
      <c r="X6" s="9" t="s">
        <v>15</v>
      </c>
    </row>
    <row r="7" spans="1:24" ht="12" customHeight="1">
      <c r="A7" s="2" t="s">
        <v>68</v>
      </c>
      <c r="B7" s="52">
        <v>0.1</v>
      </c>
      <c r="C7" s="10" t="s">
        <v>71</v>
      </c>
      <c r="E7" s="53">
        <v>5000</v>
      </c>
      <c r="F7" s="11" t="s">
        <v>75</v>
      </c>
      <c r="G7"/>
      <c r="H7" s="58" t="s">
        <v>19</v>
      </c>
      <c r="I7" s="5" t="s">
        <v>16</v>
      </c>
      <c r="K7" s="8">
        <v>0.31</v>
      </c>
      <c r="X7" s="2" t="s">
        <v>17</v>
      </c>
    </row>
    <row r="8" spans="3:11" ht="12" customHeight="1">
      <c r="C8" s="10" t="s">
        <v>72</v>
      </c>
      <c r="E8" s="53">
        <v>5000</v>
      </c>
      <c r="F8" s="72" t="s">
        <v>59</v>
      </c>
      <c r="G8"/>
      <c r="H8" s="51">
        <v>4300</v>
      </c>
      <c r="I8" s="5" t="s">
        <v>20</v>
      </c>
      <c r="K8" s="8">
        <v>0.36</v>
      </c>
    </row>
    <row r="9" spans="3:14" ht="7.5" customHeight="1">
      <c r="C9" s="4"/>
      <c r="K9" s="4"/>
      <c r="L9" s="5"/>
      <c r="N9" s="21"/>
    </row>
    <row r="10" spans="3:24" ht="12" customHeight="1">
      <c r="C10" s="12">
        <f>D10-1</f>
        <v>27</v>
      </c>
      <c r="D10" s="12">
        <f>E5</f>
        <v>28</v>
      </c>
      <c r="E10" s="12">
        <f aca="true" t="shared" si="0" ref="E10:X10">D10+1</f>
        <v>29</v>
      </c>
      <c r="F10" s="12">
        <f t="shared" si="0"/>
        <v>30</v>
      </c>
      <c r="G10" s="12">
        <f t="shared" si="0"/>
        <v>31</v>
      </c>
      <c r="H10" s="12">
        <f t="shared" si="0"/>
        <v>32</v>
      </c>
      <c r="I10" s="12">
        <f t="shared" si="0"/>
        <v>33</v>
      </c>
      <c r="J10" s="12">
        <f t="shared" si="0"/>
        <v>34</v>
      </c>
      <c r="K10" s="12">
        <f t="shared" si="0"/>
        <v>35</v>
      </c>
      <c r="L10" s="12">
        <f t="shared" si="0"/>
        <v>36</v>
      </c>
      <c r="M10" s="12">
        <f t="shared" si="0"/>
        <v>37</v>
      </c>
      <c r="N10" s="12">
        <f t="shared" si="0"/>
        <v>38</v>
      </c>
      <c r="O10" s="12">
        <f t="shared" si="0"/>
        <v>39</v>
      </c>
      <c r="P10" s="12">
        <f t="shared" si="0"/>
        <v>40</v>
      </c>
      <c r="Q10" s="12">
        <f t="shared" si="0"/>
        <v>41</v>
      </c>
      <c r="R10" s="12">
        <f t="shared" si="0"/>
        <v>42</v>
      </c>
      <c r="S10" s="12">
        <f t="shared" si="0"/>
        <v>43</v>
      </c>
      <c r="T10" s="12">
        <f t="shared" si="0"/>
        <v>44</v>
      </c>
      <c r="U10" s="12">
        <f t="shared" si="0"/>
        <v>45</v>
      </c>
      <c r="V10" s="12">
        <f t="shared" si="0"/>
        <v>46</v>
      </c>
      <c r="W10" s="12">
        <f t="shared" si="0"/>
        <v>47</v>
      </c>
      <c r="X10" s="12">
        <f t="shared" si="0"/>
        <v>48</v>
      </c>
    </row>
    <row r="11" spans="1:24" ht="12" customHeight="1">
      <c r="A11" s="66" t="s">
        <v>69</v>
      </c>
      <c r="C11" s="13">
        <v>1999</v>
      </c>
      <c r="D11" s="13">
        <v>2000</v>
      </c>
      <c r="E11" s="13">
        <v>2001</v>
      </c>
      <c r="F11" s="13">
        <f aca="true" t="shared" si="1" ref="F11:X11">E11+1</f>
        <v>2002</v>
      </c>
      <c r="G11" s="13">
        <f t="shared" si="1"/>
        <v>2003</v>
      </c>
      <c r="H11" s="13">
        <f t="shared" si="1"/>
        <v>2004</v>
      </c>
      <c r="I11" s="13">
        <f t="shared" si="1"/>
        <v>2005</v>
      </c>
      <c r="J11" s="13">
        <f t="shared" si="1"/>
        <v>2006</v>
      </c>
      <c r="K11" s="13">
        <f t="shared" si="1"/>
        <v>2007</v>
      </c>
      <c r="L11" s="13">
        <f t="shared" si="1"/>
        <v>2008</v>
      </c>
      <c r="M11" s="13">
        <f t="shared" si="1"/>
        <v>2009</v>
      </c>
      <c r="N11" s="13">
        <f t="shared" si="1"/>
        <v>2010</v>
      </c>
      <c r="O11" s="13">
        <f t="shared" si="1"/>
        <v>2011</v>
      </c>
      <c r="P11" s="13">
        <f t="shared" si="1"/>
        <v>2012</v>
      </c>
      <c r="Q11" s="13">
        <f t="shared" si="1"/>
        <v>2013</v>
      </c>
      <c r="R11" s="13">
        <f t="shared" si="1"/>
        <v>2014</v>
      </c>
      <c r="S11" s="13">
        <f t="shared" si="1"/>
        <v>2015</v>
      </c>
      <c r="T11" s="13">
        <f t="shared" si="1"/>
        <v>2016</v>
      </c>
      <c r="U11" s="13">
        <f t="shared" si="1"/>
        <v>2017</v>
      </c>
      <c r="V11" s="13">
        <f t="shared" si="1"/>
        <v>2018</v>
      </c>
      <c r="W11" s="13">
        <f t="shared" si="1"/>
        <v>2019</v>
      </c>
      <c r="X11" s="13">
        <f t="shared" si="1"/>
        <v>2020</v>
      </c>
    </row>
    <row r="12" spans="1:24" ht="12" customHeight="1">
      <c r="A12" s="61" t="s">
        <v>21</v>
      </c>
      <c r="B12" s="25"/>
      <c r="C12" s="62">
        <f>B2*-1</f>
        <v>-50000</v>
      </c>
      <c r="D12" s="62">
        <f>C12*(1+B3)</f>
        <v>-54000</v>
      </c>
      <c r="E12" s="62">
        <f aca="true" t="shared" si="2" ref="E12:X12">$B$2*(1+$B$3)^(E10-$C$10)</f>
        <v>58320.00000000001</v>
      </c>
      <c r="F12" s="62">
        <f t="shared" si="2"/>
        <v>62985.600000000006</v>
      </c>
      <c r="G12" s="62">
        <f t="shared" si="2"/>
        <v>68024.44800000002</v>
      </c>
      <c r="H12" s="62">
        <f t="shared" si="2"/>
        <v>73466.40384000001</v>
      </c>
      <c r="I12" s="62">
        <f t="shared" si="2"/>
        <v>79343.71614720003</v>
      </c>
      <c r="J12" s="62">
        <f t="shared" si="2"/>
        <v>85691.21343897603</v>
      </c>
      <c r="K12" s="62">
        <f t="shared" si="2"/>
        <v>92546.51051409412</v>
      </c>
      <c r="L12" s="62">
        <f t="shared" si="2"/>
        <v>99950.23135522165</v>
      </c>
      <c r="M12" s="62">
        <f t="shared" si="2"/>
        <v>107946.24986363939</v>
      </c>
      <c r="N12" s="62">
        <f t="shared" si="2"/>
        <v>116581.94985273054</v>
      </c>
      <c r="O12" s="62">
        <f t="shared" si="2"/>
        <v>125908.50584094899</v>
      </c>
      <c r="P12" s="62">
        <f t="shared" si="2"/>
        <v>135981.18630822492</v>
      </c>
      <c r="Q12" s="62">
        <f t="shared" si="2"/>
        <v>146859.68121288292</v>
      </c>
      <c r="R12" s="62">
        <f t="shared" si="2"/>
        <v>158608.45570991357</v>
      </c>
      <c r="S12" s="62">
        <f t="shared" si="2"/>
        <v>171297.13216670667</v>
      </c>
      <c r="T12" s="62">
        <f t="shared" si="2"/>
        <v>185000.90274004318</v>
      </c>
      <c r="U12" s="62">
        <f t="shared" si="2"/>
        <v>199800.97495924667</v>
      </c>
      <c r="V12" s="62">
        <f t="shared" si="2"/>
        <v>215785.05295598644</v>
      </c>
      <c r="W12" s="62">
        <f t="shared" si="2"/>
        <v>233047.85719246534</v>
      </c>
      <c r="X12" s="62">
        <f t="shared" si="2"/>
        <v>251691.68576786257</v>
      </c>
    </row>
    <row r="13" spans="1:24" ht="12" customHeight="1" hidden="1">
      <c r="A13" s="59" t="s">
        <v>59</v>
      </c>
      <c r="B13" s="19"/>
      <c r="C13" s="60"/>
      <c r="D13" s="60"/>
      <c r="E13" s="60">
        <f>H8</f>
        <v>4300</v>
      </c>
      <c r="F13" s="60">
        <f aca="true" t="shared" si="3" ref="F13:X13">$E$13*(1+$E$6)^(F10-$E$10)</f>
        <v>4429</v>
      </c>
      <c r="G13" s="60">
        <f t="shared" si="3"/>
        <v>4561.87</v>
      </c>
      <c r="H13" s="60">
        <f t="shared" si="3"/>
        <v>4698.7261</v>
      </c>
      <c r="I13" s="60">
        <f t="shared" si="3"/>
        <v>4839.687883</v>
      </c>
      <c r="J13" s="60">
        <f t="shared" si="3"/>
        <v>4984.878519489999</v>
      </c>
      <c r="K13" s="60">
        <f t="shared" si="3"/>
        <v>5134.424875074699</v>
      </c>
      <c r="L13" s="60">
        <f t="shared" si="3"/>
        <v>5288.457621326941</v>
      </c>
      <c r="M13" s="60">
        <f t="shared" si="3"/>
        <v>5447.111349966748</v>
      </c>
      <c r="N13" s="60">
        <f t="shared" si="3"/>
        <v>5610.5246904657515</v>
      </c>
      <c r="O13" s="60">
        <f t="shared" si="3"/>
        <v>5778.840431179724</v>
      </c>
      <c r="P13" s="60">
        <f t="shared" si="3"/>
        <v>5952.205644115115</v>
      </c>
      <c r="Q13" s="60">
        <f t="shared" si="3"/>
        <v>6130.771813438568</v>
      </c>
      <c r="R13" s="60">
        <f t="shared" si="3"/>
        <v>6314.694967841725</v>
      </c>
      <c r="S13" s="60">
        <f t="shared" si="3"/>
        <v>6504.1358168769775</v>
      </c>
      <c r="T13" s="60">
        <f t="shared" si="3"/>
        <v>6699.259891383287</v>
      </c>
      <c r="U13" s="60">
        <f t="shared" si="3"/>
        <v>6900.237688124785</v>
      </c>
      <c r="V13" s="60">
        <f t="shared" si="3"/>
        <v>7107.244818768528</v>
      </c>
      <c r="W13" s="60">
        <f t="shared" si="3"/>
        <v>7320.462163331584</v>
      </c>
      <c r="X13" s="60">
        <f t="shared" si="3"/>
        <v>7540.076028231531</v>
      </c>
    </row>
    <row r="14" spans="1:24" ht="12" customHeight="1" hidden="1">
      <c r="A14" s="59" t="s">
        <v>61</v>
      </c>
      <c r="B14" s="19"/>
      <c r="C14" s="60"/>
      <c r="D14" s="60"/>
      <c r="E14" s="60">
        <f>E12-E13</f>
        <v>54020.00000000001</v>
      </c>
      <c r="F14" s="60">
        <f aca="true" t="shared" si="4" ref="F14:X14">F12-F13</f>
        <v>58556.600000000006</v>
      </c>
      <c r="G14" s="60">
        <f t="shared" si="4"/>
        <v>63462.578000000016</v>
      </c>
      <c r="H14" s="60">
        <f t="shared" si="4"/>
        <v>68767.67774000001</v>
      </c>
      <c r="I14" s="60">
        <f t="shared" si="4"/>
        <v>74504.02826420002</v>
      </c>
      <c r="J14" s="60">
        <f t="shared" si="4"/>
        <v>80706.33491948603</v>
      </c>
      <c r="K14" s="60">
        <f t="shared" si="4"/>
        <v>87412.08563901941</v>
      </c>
      <c r="L14" s="60">
        <f t="shared" si="4"/>
        <v>94661.7737338947</v>
      </c>
      <c r="M14" s="60">
        <f t="shared" si="4"/>
        <v>102499.13851367263</v>
      </c>
      <c r="N14" s="60">
        <f t="shared" si="4"/>
        <v>110971.42516226479</v>
      </c>
      <c r="O14" s="60">
        <f t="shared" si="4"/>
        <v>120129.66540976927</v>
      </c>
      <c r="P14" s="60">
        <f t="shared" si="4"/>
        <v>130028.9806641098</v>
      </c>
      <c r="Q14" s="60">
        <f t="shared" si="4"/>
        <v>140728.90939944435</v>
      </c>
      <c r="R14" s="60">
        <f t="shared" si="4"/>
        <v>152293.76074207184</v>
      </c>
      <c r="S14" s="60">
        <f t="shared" si="4"/>
        <v>164792.9963498297</v>
      </c>
      <c r="T14" s="60">
        <f t="shared" si="4"/>
        <v>178301.6428486599</v>
      </c>
      <c r="U14" s="60">
        <f t="shared" si="4"/>
        <v>192900.73727112188</v>
      </c>
      <c r="V14" s="60">
        <f t="shared" si="4"/>
        <v>208677.80813721791</v>
      </c>
      <c r="W14" s="60">
        <f t="shared" si="4"/>
        <v>225727.39502913377</v>
      </c>
      <c r="X14" s="60">
        <f t="shared" si="4"/>
        <v>244151.60973963104</v>
      </c>
    </row>
    <row r="15" spans="1:38" ht="12.75" hidden="1">
      <c r="A15" s="17" t="s">
        <v>22</v>
      </c>
      <c r="B15" s="17"/>
      <c r="C15" s="18"/>
      <c r="D15" s="19"/>
      <c r="E15" s="18">
        <f>IF(E14&gt;$K$2,$K$2*$K$3,E14*#REF!)</f>
        <v>3862.5</v>
      </c>
      <c r="F15" s="18">
        <f>IF(F14&gt;$K$2,$K$2*$K$3,F14*#REF!)</f>
        <v>3862.5</v>
      </c>
      <c r="G15" s="18">
        <f>IF(G14&gt;$K$2,$K$2*$K$3,G14*#REF!)</f>
        <v>3862.5</v>
      </c>
      <c r="H15" s="18">
        <f>IF(H14&gt;$K$2,$K$2*$K$3,H14*#REF!)</f>
        <v>3862.5</v>
      </c>
      <c r="I15" s="18">
        <f>IF(I14&gt;$K$2,$K$2*$K$3,I14*#REF!)</f>
        <v>3862.5</v>
      </c>
      <c r="J15" s="18">
        <f>IF(J14&gt;$K$2,$K$2*$K$3,J14*#REF!)</f>
        <v>3862.5</v>
      </c>
      <c r="K15" s="18">
        <f>IF(K14&gt;$K$2,$K$2*$K$3,K14*#REF!)</f>
        <v>3862.5</v>
      </c>
      <c r="L15" s="18">
        <f>IF(L14&gt;$K$2,$K$2*$K$3,L14*#REF!)</f>
        <v>3862.5</v>
      </c>
      <c r="M15" s="18">
        <f>IF(M14&gt;$K$2,$K$2*$K$3,M14*#REF!)</f>
        <v>3862.5</v>
      </c>
      <c r="N15" s="18">
        <f>IF(N14&gt;$K$2,$K$2*$K$3,N14*#REF!)</f>
        <v>3862.5</v>
      </c>
      <c r="O15" s="18">
        <f>IF(O14&gt;$K$2,$K$2*$K$3,O14*#REF!)</f>
        <v>3862.5</v>
      </c>
      <c r="P15" s="18">
        <f>IF(P14&gt;$K$2,$K$2*$K$3,P14*#REF!)</f>
        <v>3862.5</v>
      </c>
      <c r="Q15" s="18">
        <f>IF(Q14&gt;$K$2,$K$2*$K$3,Q14*#REF!)</f>
        <v>3862.5</v>
      </c>
      <c r="R15" s="18">
        <f>IF(R14&gt;$K$2,$K$2*$K$3,R14*#REF!)</f>
        <v>3862.5</v>
      </c>
      <c r="S15" s="18">
        <f>IF(S14&gt;$K$2,$K$2*$K$3,S14*#REF!)</f>
        <v>3862.5</v>
      </c>
      <c r="T15" s="18">
        <f>IF(T14&gt;$K$2,$K$2*$K$3,T14*#REF!)</f>
        <v>3862.5</v>
      </c>
      <c r="U15" s="18">
        <f>IF(U14&gt;$K$2,$K$2*$K$3,U14*#REF!)</f>
        <v>3862.5</v>
      </c>
      <c r="V15" s="18">
        <f>IF(V14&gt;$K$2,$K$2*$K$3,V14*#REF!)</f>
        <v>3862.5</v>
      </c>
      <c r="W15" s="18">
        <f>IF(W14&gt;$K$2,$K$2*$K$3,W14*#REF!)</f>
        <v>3862.5</v>
      </c>
      <c r="X15" s="18">
        <f>IF(X14&gt;$K$2,$K$2*$K$3,X14*#REF!)</f>
        <v>3862.5</v>
      </c>
      <c r="AL15" s="2"/>
    </row>
    <row r="16" spans="1:38" ht="12.75" hidden="1">
      <c r="A16" s="16" t="s">
        <v>23</v>
      </c>
      <c r="B16" s="17"/>
      <c r="C16" s="18"/>
      <c r="D16" s="19"/>
      <c r="E16" s="18">
        <f aca="true" t="shared" si="5" ref="E16:X16">IF(E14&gt;$K$4,(($K$4-$K$2)*$K$5),((E14-$K$2)*$K$5))</f>
        <v>7915.600000000003</v>
      </c>
      <c r="F16" s="18">
        <f t="shared" si="5"/>
        <v>9185.848000000002</v>
      </c>
      <c r="G16" s="18">
        <f t="shared" si="5"/>
        <v>10276.000000000002</v>
      </c>
      <c r="H16" s="18">
        <f t="shared" si="5"/>
        <v>10276.000000000002</v>
      </c>
      <c r="I16" s="18">
        <f t="shared" si="5"/>
        <v>10276.000000000002</v>
      </c>
      <c r="J16" s="18">
        <f t="shared" si="5"/>
        <v>10276.000000000002</v>
      </c>
      <c r="K16" s="18">
        <f t="shared" si="5"/>
        <v>10276.000000000002</v>
      </c>
      <c r="L16" s="18">
        <f t="shared" si="5"/>
        <v>10276.000000000002</v>
      </c>
      <c r="M16" s="18">
        <f t="shared" si="5"/>
        <v>10276.000000000002</v>
      </c>
      <c r="N16" s="18">
        <f t="shared" si="5"/>
        <v>10276.000000000002</v>
      </c>
      <c r="O16" s="18">
        <f t="shared" si="5"/>
        <v>10276.000000000002</v>
      </c>
      <c r="P16" s="18">
        <f t="shared" si="5"/>
        <v>10276.000000000002</v>
      </c>
      <c r="Q16" s="18">
        <f t="shared" si="5"/>
        <v>10276.000000000002</v>
      </c>
      <c r="R16" s="18">
        <f t="shared" si="5"/>
        <v>10276.000000000002</v>
      </c>
      <c r="S16" s="18">
        <f t="shared" si="5"/>
        <v>10276.000000000002</v>
      </c>
      <c r="T16" s="18">
        <f t="shared" si="5"/>
        <v>10276.000000000002</v>
      </c>
      <c r="U16" s="18">
        <f t="shared" si="5"/>
        <v>10276.000000000002</v>
      </c>
      <c r="V16" s="18">
        <f t="shared" si="5"/>
        <v>10276.000000000002</v>
      </c>
      <c r="W16" s="18">
        <f t="shared" si="5"/>
        <v>10276.000000000002</v>
      </c>
      <c r="X16" s="18">
        <f t="shared" si="5"/>
        <v>10276.000000000002</v>
      </c>
      <c r="AL16" s="2"/>
    </row>
    <row r="17" spans="1:38" ht="12.75" hidden="1">
      <c r="A17" s="16" t="s">
        <v>24</v>
      </c>
      <c r="B17" s="17"/>
      <c r="C17" s="18"/>
      <c r="D17" s="19"/>
      <c r="E17" s="18">
        <f aca="true" t="shared" si="6" ref="E17:X17">IF(E14&gt;$K$6,(($K$6-$K$4)*$K$7),((E14-$K$4)*$K$7))</f>
        <v>-2613.299999999998</v>
      </c>
      <c r="F17" s="18">
        <f t="shared" si="6"/>
        <v>-1206.9539999999981</v>
      </c>
      <c r="G17" s="18">
        <f t="shared" si="6"/>
        <v>313.89918000000495</v>
      </c>
      <c r="H17" s="18">
        <f t="shared" si="6"/>
        <v>1958.4800994000043</v>
      </c>
      <c r="I17" s="18">
        <f t="shared" si="6"/>
        <v>3736.7487619020076</v>
      </c>
      <c r="J17" s="18">
        <f t="shared" si="6"/>
        <v>5659.463825040671</v>
      </c>
      <c r="K17" s="18">
        <f t="shared" si="6"/>
        <v>7738.246548096017</v>
      </c>
      <c r="L17" s="18">
        <f t="shared" si="6"/>
        <v>9985.649857507358</v>
      </c>
      <c r="M17" s="18">
        <f t="shared" si="6"/>
        <v>12415.232939238516</v>
      </c>
      <c r="N17" s="18">
        <f t="shared" si="6"/>
        <v>15041.641800302084</v>
      </c>
      <c r="O17" s="18">
        <f t="shared" si="6"/>
        <v>17880.696277028474</v>
      </c>
      <c r="P17" s="18">
        <f t="shared" si="6"/>
        <v>20949.484005874037</v>
      </c>
      <c r="Q17" s="18">
        <f t="shared" si="6"/>
        <v>21018</v>
      </c>
      <c r="R17" s="18">
        <f t="shared" si="6"/>
        <v>21018</v>
      </c>
      <c r="S17" s="18">
        <f t="shared" si="6"/>
        <v>21018</v>
      </c>
      <c r="T17" s="18">
        <f t="shared" si="6"/>
        <v>21018</v>
      </c>
      <c r="U17" s="18">
        <f t="shared" si="6"/>
        <v>21018</v>
      </c>
      <c r="V17" s="18">
        <f t="shared" si="6"/>
        <v>21018</v>
      </c>
      <c r="W17" s="18">
        <f t="shared" si="6"/>
        <v>21018</v>
      </c>
      <c r="X17" s="18">
        <f t="shared" si="6"/>
        <v>21018</v>
      </c>
      <c r="AL17" s="2"/>
    </row>
    <row r="18" spans="1:38" ht="12.75" hidden="1">
      <c r="A18" s="16" t="s">
        <v>25</v>
      </c>
      <c r="B18" s="17"/>
      <c r="C18" s="18"/>
      <c r="D18" s="19"/>
      <c r="E18" s="18">
        <f aca="true" t="shared" si="7" ref="E18:X18">IF(E14&gt;$K$6,((E14-$K$6)*$K$8),0)</f>
        <v>0</v>
      </c>
      <c r="F18" s="18">
        <f t="shared" si="7"/>
        <v>0</v>
      </c>
      <c r="G18" s="18">
        <f t="shared" si="7"/>
        <v>0</v>
      </c>
      <c r="H18" s="18">
        <f t="shared" si="7"/>
        <v>0</v>
      </c>
      <c r="I18" s="18">
        <f t="shared" si="7"/>
        <v>0</v>
      </c>
      <c r="J18" s="18">
        <f t="shared" si="7"/>
        <v>0</v>
      </c>
      <c r="K18" s="18">
        <f t="shared" si="7"/>
        <v>0</v>
      </c>
      <c r="L18" s="18">
        <f t="shared" si="7"/>
        <v>0</v>
      </c>
      <c r="M18" s="18">
        <f t="shared" si="7"/>
        <v>0</v>
      </c>
      <c r="N18" s="18">
        <f t="shared" si="7"/>
        <v>0</v>
      </c>
      <c r="O18" s="18">
        <f t="shared" si="7"/>
        <v>0</v>
      </c>
      <c r="P18" s="18">
        <f t="shared" si="7"/>
        <v>0</v>
      </c>
      <c r="Q18" s="18">
        <f t="shared" si="7"/>
        <v>3772.407383799967</v>
      </c>
      <c r="R18" s="18">
        <f t="shared" si="7"/>
        <v>7935.753867145862</v>
      </c>
      <c r="S18" s="18">
        <f t="shared" si="7"/>
        <v>12435.478685938686</v>
      </c>
      <c r="T18" s="18">
        <f t="shared" si="7"/>
        <v>17298.59142551756</v>
      </c>
      <c r="U18" s="18">
        <f t="shared" si="7"/>
        <v>22554.265417603874</v>
      </c>
      <c r="V18" s="18">
        <f t="shared" si="7"/>
        <v>28234.01092939845</v>
      </c>
      <c r="W18" s="18">
        <f t="shared" si="7"/>
        <v>34371.86221048816</v>
      </c>
      <c r="X18" s="18">
        <f t="shared" si="7"/>
        <v>41004.579506267175</v>
      </c>
      <c r="AL18" s="2"/>
    </row>
    <row r="19" spans="1:38" ht="12.75" hidden="1">
      <c r="A19" s="16" t="s">
        <v>26</v>
      </c>
      <c r="B19" s="17"/>
      <c r="C19" s="18"/>
      <c r="D19" s="19"/>
      <c r="E19" s="18">
        <f aca="true" t="shared" si="8" ref="E19:X19">SUMIF(E15:E18,"&gt;0",E15:E18)</f>
        <v>11778.100000000002</v>
      </c>
      <c r="F19" s="18">
        <f t="shared" si="8"/>
        <v>13048.348000000002</v>
      </c>
      <c r="G19" s="18">
        <f t="shared" si="8"/>
        <v>14452.399180000008</v>
      </c>
      <c r="H19" s="18">
        <f t="shared" si="8"/>
        <v>16096.980099400007</v>
      </c>
      <c r="I19" s="18">
        <f t="shared" si="8"/>
        <v>17875.24876190201</v>
      </c>
      <c r="J19" s="18">
        <f t="shared" si="8"/>
        <v>19797.96382504067</v>
      </c>
      <c r="K19" s="18">
        <f t="shared" si="8"/>
        <v>21876.74654809602</v>
      </c>
      <c r="L19" s="18">
        <f t="shared" si="8"/>
        <v>24124.14985750736</v>
      </c>
      <c r="M19" s="18">
        <f t="shared" si="8"/>
        <v>26553.732939238518</v>
      </c>
      <c r="N19" s="18">
        <f t="shared" si="8"/>
        <v>29180.141800302088</v>
      </c>
      <c r="O19" s="18">
        <f t="shared" si="8"/>
        <v>32019.196277028474</v>
      </c>
      <c r="P19" s="18">
        <f t="shared" si="8"/>
        <v>35087.98400587404</v>
      </c>
      <c r="Q19" s="18">
        <f t="shared" si="8"/>
        <v>38928.90738379997</v>
      </c>
      <c r="R19" s="18">
        <f t="shared" si="8"/>
        <v>43092.25386714586</v>
      </c>
      <c r="S19" s="18">
        <f t="shared" si="8"/>
        <v>47591.97868593869</v>
      </c>
      <c r="T19" s="18">
        <f t="shared" si="8"/>
        <v>52455.09142551756</v>
      </c>
      <c r="U19" s="18">
        <f t="shared" si="8"/>
        <v>57710.76541760388</v>
      </c>
      <c r="V19" s="18">
        <f t="shared" si="8"/>
        <v>63390.51092939845</v>
      </c>
      <c r="W19" s="18">
        <f t="shared" si="8"/>
        <v>69528.36221048815</v>
      </c>
      <c r="X19" s="20">
        <f t="shared" si="8"/>
        <v>76161.07950626718</v>
      </c>
      <c r="AL19" s="2"/>
    </row>
    <row r="20" spans="1:38" ht="12.75" hidden="1">
      <c r="A20" s="16" t="s">
        <v>27</v>
      </c>
      <c r="B20" s="21">
        <v>0.07</v>
      </c>
      <c r="C20" s="18"/>
      <c r="D20" s="19"/>
      <c r="E20" s="18">
        <f aca="true" t="shared" si="9" ref="E20:X20">$B$36*E12</f>
        <v>4082.400000000001</v>
      </c>
      <c r="F20" s="18">
        <f t="shared" si="9"/>
        <v>4408.992000000001</v>
      </c>
      <c r="G20" s="18">
        <f t="shared" si="9"/>
        <v>4761.711360000002</v>
      </c>
      <c r="H20" s="18">
        <f t="shared" si="9"/>
        <v>5142.6482688000015</v>
      </c>
      <c r="I20" s="18">
        <f t="shared" si="9"/>
        <v>5554.060130304003</v>
      </c>
      <c r="J20" s="18">
        <f t="shared" si="9"/>
        <v>5998.384940728323</v>
      </c>
      <c r="K20" s="18">
        <f t="shared" si="9"/>
        <v>6478.255735986589</v>
      </c>
      <c r="L20" s="18">
        <f t="shared" si="9"/>
        <v>6996.516194865516</v>
      </c>
      <c r="M20" s="18">
        <f t="shared" si="9"/>
        <v>7556.237490454758</v>
      </c>
      <c r="N20" s="18">
        <f t="shared" si="9"/>
        <v>8160.736489691139</v>
      </c>
      <c r="O20" s="18">
        <f t="shared" si="9"/>
        <v>8813.59540886643</v>
      </c>
      <c r="P20" s="18">
        <f t="shared" si="9"/>
        <v>9518.683041575745</v>
      </c>
      <c r="Q20" s="18">
        <f t="shared" si="9"/>
        <v>10280.177684901806</v>
      </c>
      <c r="R20" s="18">
        <f t="shared" si="9"/>
        <v>11102.59189969395</v>
      </c>
      <c r="S20" s="18">
        <f t="shared" si="9"/>
        <v>11990.799251669469</v>
      </c>
      <c r="T20" s="18">
        <f t="shared" si="9"/>
        <v>12950.063191803023</v>
      </c>
      <c r="U20" s="18">
        <f t="shared" si="9"/>
        <v>13986.068247147268</v>
      </c>
      <c r="V20" s="18">
        <f t="shared" si="9"/>
        <v>15104.953706919052</v>
      </c>
      <c r="W20" s="18">
        <f t="shared" si="9"/>
        <v>16313.350003472575</v>
      </c>
      <c r="X20" s="18">
        <f t="shared" si="9"/>
        <v>17618.418003750383</v>
      </c>
      <c r="AL20" s="2"/>
    </row>
    <row r="21" spans="1:38" ht="12.75" hidden="1">
      <c r="A21" s="16" t="s">
        <v>58</v>
      </c>
      <c r="B21" s="21">
        <v>0.0595</v>
      </c>
      <c r="C21" s="18"/>
      <c r="D21" s="19"/>
      <c r="E21" s="18">
        <f aca="true" t="shared" si="10" ref="E21:X21">$B$37*E12</f>
        <v>3470.0400000000004</v>
      </c>
      <c r="F21" s="18">
        <f t="shared" si="10"/>
        <v>3747.6432</v>
      </c>
      <c r="G21" s="18">
        <f t="shared" si="10"/>
        <v>4047.454656000001</v>
      </c>
      <c r="H21" s="18">
        <f t="shared" si="10"/>
        <v>4371.251028480001</v>
      </c>
      <c r="I21" s="18">
        <f t="shared" si="10"/>
        <v>4720.951110758401</v>
      </c>
      <c r="J21" s="18">
        <f t="shared" si="10"/>
        <v>5098.6271996190735</v>
      </c>
      <c r="K21" s="18">
        <f t="shared" si="10"/>
        <v>5506.5173755886</v>
      </c>
      <c r="L21" s="18">
        <f t="shared" si="10"/>
        <v>5947.038765635688</v>
      </c>
      <c r="M21" s="18">
        <f t="shared" si="10"/>
        <v>6422.801866886543</v>
      </c>
      <c r="N21" s="18">
        <f t="shared" si="10"/>
        <v>6936.6260162374665</v>
      </c>
      <c r="O21" s="18">
        <f t="shared" si="10"/>
        <v>7491.556097536464</v>
      </c>
      <c r="P21" s="18">
        <f t="shared" si="10"/>
        <v>8090.880585339382</v>
      </c>
      <c r="Q21" s="18">
        <f t="shared" si="10"/>
        <v>8738.151032166534</v>
      </c>
      <c r="R21" s="18">
        <f t="shared" si="10"/>
        <v>9437.203114739857</v>
      </c>
      <c r="S21" s="18">
        <f t="shared" si="10"/>
        <v>10192.179363919045</v>
      </c>
      <c r="T21" s="18">
        <f t="shared" si="10"/>
        <v>11007.553713032568</v>
      </c>
      <c r="U21" s="18">
        <f t="shared" si="10"/>
        <v>11888.158010075176</v>
      </c>
      <c r="V21" s="18">
        <f t="shared" si="10"/>
        <v>12839.210650881192</v>
      </c>
      <c r="W21" s="18">
        <f t="shared" si="10"/>
        <v>13866.347502951687</v>
      </c>
      <c r="X21" s="18">
        <f t="shared" si="10"/>
        <v>14975.655303187823</v>
      </c>
      <c r="AL21" s="2"/>
    </row>
    <row r="22" spans="1:38" ht="12.75" hidden="1">
      <c r="A22" s="16" t="s">
        <v>28</v>
      </c>
      <c r="B22" s="21">
        <v>0.014273434432405472</v>
      </c>
      <c r="C22" s="18"/>
      <c r="D22" s="19"/>
      <c r="E22" s="18">
        <f aca="true" t="shared" si="11" ref="E22:X22">$B$38*E12</f>
        <v>832.4266960978872</v>
      </c>
      <c r="F22" s="18">
        <f t="shared" si="11"/>
        <v>899.0208317857182</v>
      </c>
      <c r="G22" s="18">
        <f t="shared" si="11"/>
        <v>970.9424983285759</v>
      </c>
      <c r="H22" s="18">
        <f t="shared" si="11"/>
        <v>1048.6178981948617</v>
      </c>
      <c r="I22" s="18">
        <f t="shared" si="11"/>
        <v>1132.507330050451</v>
      </c>
      <c r="J22" s="18">
        <f t="shared" si="11"/>
        <v>1223.107916454487</v>
      </c>
      <c r="K22" s="18">
        <f t="shared" si="11"/>
        <v>1320.956549770846</v>
      </c>
      <c r="L22" s="18">
        <f t="shared" si="11"/>
        <v>1426.6330737525138</v>
      </c>
      <c r="M22" s="18">
        <f t="shared" si="11"/>
        <v>1540.763719652715</v>
      </c>
      <c r="N22" s="18">
        <f t="shared" si="11"/>
        <v>1664.0248172249321</v>
      </c>
      <c r="O22" s="18">
        <f t="shared" si="11"/>
        <v>1797.1468026029268</v>
      </c>
      <c r="P22" s="18">
        <f t="shared" si="11"/>
        <v>1940.9185468111611</v>
      </c>
      <c r="Q22" s="18">
        <f t="shared" si="11"/>
        <v>2096.1920305560543</v>
      </c>
      <c r="R22" s="18">
        <f t="shared" si="11"/>
        <v>2263.887393000539</v>
      </c>
      <c r="S22" s="18">
        <f t="shared" si="11"/>
        <v>2444.998384440582</v>
      </c>
      <c r="T22" s="18">
        <f t="shared" si="11"/>
        <v>2640.598255195828</v>
      </c>
      <c r="U22" s="18">
        <f t="shared" si="11"/>
        <v>2851.846115611495</v>
      </c>
      <c r="V22" s="18">
        <f t="shared" si="11"/>
        <v>3079.993804860415</v>
      </c>
      <c r="W22" s="18">
        <f t="shared" si="11"/>
        <v>3326.393309249248</v>
      </c>
      <c r="X22" s="18">
        <f t="shared" si="11"/>
        <v>3592.504773989188</v>
      </c>
      <c r="AL22" s="2"/>
    </row>
    <row r="23" spans="1:38" ht="12.75" hidden="1">
      <c r="A23" s="22" t="s">
        <v>29</v>
      </c>
      <c r="B23" s="23"/>
      <c r="C23" s="24"/>
      <c r="D23" s="25"/>
      <c r="E23" s="24">
        <f aca="true" t="shared" si="12" ref="E23:X23">SUM(E19:E22)</f>
        <v>20162.96669609789</v>
      </c>
      <c r="F23" s="24">
        <f t="shared" si="12"/>
        <v>22104.00403178572</v>
      </c>
      <c r="G23" s="24">
        <f t="shared" si="12"/>
        <v>24232.507694328586</v>
      </c>
      <c r="H23" s="24">
        <f t="shared" si="12"/>
        <v>26659.49729487487</v>
      </c>
      <c r="I23" s="24">
        <f t="shared" si="12"/>
        <v>29282.767333014865</v>
      </c>
      <c r="J23" s="24">
        <f t="shared" si="12"/>
        <v>32118.083881842555</v>
      </c>
      <c r="K23" s="24">
        <f t="shared" si="12"/>
        <v>35182.47620944206</v>
      </c>
      <c r="L23" s="24">
        <f t="shared" si="12"/>
        <v>38494.337891761075</v>
      </c>
      <c r="M23" s="24">
        <f t="shared" si="12"/>
        <v>42073.53601623253</v>
      </c>
      <c r="N23" s="24">
        <f t="shared" si="12"/>
        <v>45941.52912345563</v>
      </c>
      <c r="O23" s="24">
        <f t="shared" si="12"/>
        <v>50121.49458603429</v>
      </c>
      <c r="P23" s="24">
        <f t="shared" si="12"/>
        <v>54638.46617960033</v>
      </c>
      <c r="Q23" s="24">
        <f t="shared" si="12"/>
        <v>60043.42813142436</v>
      </c>
      <c r="R23" s="24">
        <f t="shared" si="12"/>
        <v>65895.9362745802</v>
      </c>
      <c r="S23" s="24">
        <f t="shared" si="12"/>
        <v>72219.95568596778</v>
      </c>
      <c r="T23" s="24">
        <f t="shared" si="12"/>
        <v>79053.30658554898</v>
      </c>
      <c r="U23" s="24">
        <f t="shared" si="12"/>
        <v>86436.83779043781</v>
      </c>
      <c r="V23" s="24">
        <f t="shared" si="12"/>
        <v>94414.66909205909</v>
      </c>
      <c r="W23" s="24">
        <f t="shared" si="12"/>
        <v>103034.45302616166</v>
      </c>
      <c r="X23" s="26">
        <f t="shared" si="12"/>
        <v>112347.65758719458</v>
      </c>
      <c r="AL23" s="2"/>
    </row>
    <row r="24" spans="1:38" ht="12.75">
      <c r="A24" s="27" t="s">
        <v>30</v>
      </c>
      <c r="B24" s="21"/>
      <c r="C24" s="18"/>
      <c r="D24" s="19"/>
      <c r="E24" s="18">
        <f aca="true" t="shared" si="13" ref="E24:X24">E12-E23</f>
        <v>38157.03330390212</v>
      </c>
      <c r="F24" s="18">
        <f t="shared" si="13"/>
        <v>40881.595968214286</v>
      </c>
      <c r="G24" s="18">
        <f t="shared" si="13"/>
        <v>43791.94030567144</v>
      </c>
      <c r="H24" s="18">
        <f t="shared" si="13"/>
        <v>46806.906545125144</v>
      </c>
      <c r="I24" s="18">
        <f t="shared" si="13"/>
        <v>50060.94881418516</v>
      </c>
      <c r="J24" s="18">
        <f t="shared" si="13"/>
        <v>53573.12955713348</v>
      </c>
      <c r="K24" s="18">
        <f t="shared" si="13"/>
        <v>57364.03430465206</v>
      </c>
      <c r="L24" s="18">
        <f t="shared" si="13"/>
        <v>61455.893463460576</v>
      </c>
      <c r="M24" s="18">
        <f t="shared" si="13"/>
        <v>65872.71384740685</v>
      </c>
      <c r="N24" s="18">
        <f t="shared" si="13"/>
        <v>70640.42072927492</v>
      </c>
      <c r="O24" s="18">
        <f t="shared" si="13"/>
        <v>75787.01125491469</v>
      </c>
      <c r="P24" s="18">
        <f t="shared" si="13"/>
        <v>81342.72012862458</v>
      </c>
      <c r="Q24" s="18">
        <f t="shared" si="13"/>
        <v>86816.25308145856</v>
      </c>
      <c r="R24" s="18">
        <f t="shared" si="13"/>
        <v>92712.51943533336</v>
      </c>
      <c r="S24" s="18">
        <f t="shared" si="13"/>
        <v>99077.17648073888</v>
      </c>
      <c r="T24" s="18">
        <f t="shared" si="13"/>
        <v>105947.5961544942</v>
      </c>
      <c r="U24" s="18">
        <f t="shared" si="13"/>
        <v>113364.13716880885</v>
      </c>
      <c r="V24" s="18">
        <f t="shared" si="13"/>
        <v>121370.38386392735</v>
      </c>
      <c r="W24" s="18">
        <f t="shared" si="13"/>
        <v>130013.40416630368</v>
      </c>
      <c r="X24" s="18">
        <f t="shared" si="13"/>
        <v>139344.02818066798</v>
      </c>
      <c r="AL24" s="2"/>
    </row>
    <row r="25" spans="1:38" ht="12.75">
      <c r="A25" s="27" t="s">
        <v>31</v>
      </c>
      <c r="B25" s="21"/>
      <c r="C25" s="18"/>
      <c r="D25" s="19"/>
      <c r="E25" s="18">
        <f>H2</f>
        <v>150000</v>
      </c>
      <c r="F25" s="15">
        <f aca="true" t="shared" si="14" ref="F25:X25">$H$2*(1+$H$3)^(F10-$E$10)</f>
        <v>162000</v>
      </c>
      <c r="G25" s="15">
        <f t="shared" si="14"/>
        <v>174960.00000000003</v>
      </c>
      <c r="H25" s="15">
        <f t="shared" si="14"/>
        <v>188956.80000000002</v>
      </c>
      <c r="I25" s="15">
        <f t="shared" si="14"/>
        <v>204073.34400000004</v>
      </c>
      <c r="J25" s="15">
        <f t="shared" si="14"/>
        <v>220399.21152000004</v>
      </c>
      <c r="K25" s="15">
        <f t="shared" si="14"/>
        <v>238031.1484416001</v>
      </c>
      <c r="L25" s="15">
        <f t="shared" si="14"/>
        <v>257073.6403169281</v>
      </c>
      <c r="M25" s="15">
        <f t="shared" si="14"/>
        <v>277639.5315422823</v>
      </c>
      <c r="N25" s="15">
        <f t="shared" si="14"/>
        <v>299850.69406566495</v>
      </c>
      <c r="O25" s="15">
        <f t="shared" si="14"/>
        <v>323838.7495909182</v>
      </c>
      <c r="P25" s="15">
        <f t="shared" si="14"/>
        <v>349745.8495581916</v>
      </c>
      <c r="Q25" s="15">
        <f t="shared" si="14"/>
        <v>377725.517522847</v>
      </c>
      <c r="R25" s="15">
        <f t="shared" si="14"/>
        <v>407943.55892467475</v>
      </c>
      <c r="S25" s="15">
        <f t="shared" si="14"/>
        <v>440579.0436386488</v>
      </c>
      <c r="T25" s="15">
        <f t="shared" si="14"/>
        <v>475825.3671297407</v>
      </c>
      <c r="U25" s="15">
        <f t="shared" si="14"/>
        <v>513891.39650011994</v>
      </c>
      <c r="V25" s="15">
        <f t="shared" si="14"/>
        <v>555002.7082201296</v>
      </c>
      <c r="W25" s="15">
        <f t="shared" si="14"/>
        <v>599402.92487774</v>
      </c>
      <c r="X25" s="15">
        <f t="shared" si="14"/>
        <v>647355.1588679593</v>
      </c>
      <c r="AL25" s="2"/>
    </row>
    <row r="26" spans="1:38" ht="12.75">
      <c r="A26" s="27" t="s">
        <v>32</v>
      </c>
      <c r="B26" s="21"/>
      <c r="C26" s="18"/>
      <c r="D26" s="19"/>
      <c r="E26" s="18">
        <f>H5</f>
        <v>30000</v>
      </c>
      <c r="F26" s="18">
        <f aca="true" t="shared" si="15" ref="F26:X26">$H$5*(1+$H$6)^(F10-$E$10)</f>
        <v>30900</v>
      </c>
      <c r="G26" s="18">
        <f t="shared" si="15"/>
        <v>31827</v>
      </c>
      <c r="H26" s="18">
        <f t="shared" si="15"/>
        <v>32781.81</v>
      </c>
      <c r="I26" s="18">
        <f t="shared" si="15"/>
        <v>33765.264299999995</v>
      </c>
      <c r="J26" s="18">
        <f t="shared" si="15"/>
        <v>34778.22222899999</v>
      </c>
      <c r="K26" s="18">
        <f t="shared" si="15"/>
        <v>35821.56889587</v>
      </c>
      <c r="L26" s="18">
        <f t="shared" si="15"/>
        <v>36896.2159627461</v>
      </c>
      <c r="M26" s="18">
        <f t="shared" si="15"/>
        <v>38003.10244162848</v>
      </c>
      <c r="N26" s="18">
        <f t="shared" si="15"/>
        <v>39143.195514877334</v>
      </c>
      <c r="O26" s="18">
        <f t="shared" si="15"/>
        <v>40317.491380323656</v>
      </c>
      <c r="P26" s="18">
        <f t="shared" si="15"/>
        <v>41527.016121733366</v>
      </c>
      <c r="Q26" s="18">
        <f t="shared" si="15"/>
        <v>42772.82660538536</v>
      </c>
      <c r="R26" s="18">
        <f t="shared" si="15"/>
        <v>44056.011403546916</v>
      </c>
      <c r="S26" s="18">
        <f t="shared" si="15"/>
        <v>45377.691745653334</v>
      </c>
      <c r="T26" s="18">
        <f t="shared" si="15"/>
        <v>46739.02249802293</v>
      </c>
      <c r="U26" s="18">
        <f t="shared" si="15"/>
        <v>48141.19317296361</v>
      </c>
      <c r="V26" s="18">
        <f t="shared" si="15"/>
        <v>49585.42896815252</v>
      </c>
      <c r="W26" s="18">
        <f t="shared" si="15"/>
        <v>51072.9918371971</v>
      </c>
      <c r="X26" s="18">
        <f t="shared" si="15"/>
        <v>52605.181592313005</v>
      </c>
      <c r="AL26" s="2"/>
    </row>
    <row r="27" spans="1:23" s="28" customFormat="1" ht="12.75">
      <c r="A27" s="28" t="s">
        <v>8</v>
      </c>
      <c r="B27"/>
      <c r="C27" s="29"/>
      <c r="D27" s="29"/>
      <c r="E27" s="29">
        <f>H4</f>
        <v>20000</v>
      </c>
      <c r="W27" s="29"/>
    </row>
    <row r="28" spans="1:24" ht="12" customHeight="1">
      <c r="A28" s="64" t="s">
        <v>33</v>
      </c>
      <c r="B28" s="65"/>
      <c r="C28" s="25"/>
      <c r="D28" s="25"/>
      <c r="E28" s="62">
        <f>SUM(E25:E27)</f>
        <v>200000</v>
      </c>
      <c r="F28" s="62">
        <f aca="true" t="shared" si="16" ref="F28:X28">SUM(F25:F26)</f>
        <v>192900</v>
      </c>
      <c r="G28" s="62">
        <f t="shared" si="16"/>
        <v>206787.00000000003</v>
      </c>
      <c r="H28" s="62">
        <f t="shared" si="16"/>
        <v>221738.61000000002</v>
      </c>
      <c r="I28" s="62">
        <f t="shared" si="16"/>
        <v>237838.60830000002</v>
      </c>
      <c r="J28" s="62">
        <f t="shared" si="16"/>
        <v>255177.43374900002</v>
      </c>
      <c r="K28" s="62">
        <f t="shared" si="16"/>
        <v>273852.7173374701</v>
      </c>
      <c r="L28" s="62">
        <f t="shared" si="16"/>
        <v>293969.8562796742</v>
      </c>
      <c r="M28" s="62">
        <f t="shared" si="16"/>
        <v>315642.6339839108</v>
      </c>
      <c r="N28" s="62">
        <f t="shared" si="16"/>
        <v>338993.8895805423</v>
      </c>
      <c r="O28" s="62">
        <f t="shared" si="16"/>
        <v>364156.24097124184</v>
      </c>
      <c r="P28" s="62">
        <f t="shared" si="16"/>
        <v>391272.86567992496</v>
      </c>
      <c r="Q28" s="62">
        <f t="shared" si="16"/>
        <v>420498.34412823233</v>
      </c>
      <c r="R28" s="62">
        <f t="shared" si="16"/>
        <v>451999.57032822166</v>
      </c>
      <c r="S28" s="62">
        <f t="shared" si="16"/>
        <v>485956.73538430216</v>
      </c>
      <c r="T28" s="62">
        <f t="shared" si="16"/>
        <v>522564.38962776365</v>
      </c>
      <c r="U28" s="62">
        <f t="shared" si="16"/>
        <v>562032.5896730835</v>
      </c>
      <c r="V28" s="62">
        <f t="shared" si="16"/>
        <v>604588.1371882821</v>
      </c>
      <c r="W28" s="62">
        <f t="shared" si="16"/>
        <v>650475.9167149371</v>
      </c>
      <c r="X28" s="62">
        <f t="shared" si="16"/>
        <v>699960.3404602723</v>
      </c>
    </row>
    <row r="29" spans="1:24" ht="12" customHeight="1" hidden="1">
      <c r="A29" s="59" t="s">
        <v>59</v>
      </c>
      <c r="B29" s="63"/>
      <c r="C29" s="19"/>
      <c r="D29" s="19"/>
      <c r="E29" s="60">
        <f>E13</f>
        <v>4300</v>
      </c>
      <c r="F29" s="60">
        <f aca="true" t="shared" si="17" ref="F29:X29">F13</f>
        <v>4429</v>
      </c>
      <c r="G29" s="60">
        <f t="shared" si="17"/>
        <v>4561.87</v>
      </c>
      <c r="H29" s="60">
        <f t="shared" si="17"/>
        <v>4698.7261</v>
      </c>
      <c r="I29" s="60">
        <f t="shared" si="17"/>
        <v>4839.687883</v>
      </c>
      <c r="J29" s="60">
        <f t="shared" si="17"/>
        <v>4984.878519489999</v>
      </c>
      <c r="K29" s="60">
        <f t="shared" si="17"/>
        <v>5134.424875074699</v>
      </c>
      <c r="L29" s="60">
        <f t="shared" si="17"/>
        <v>5288.457621326941</v>
      </c>
      <c r="M29" s="60">
        <f t="shared" si="17"/>
        <v>5447.111349966748</v>
      </c>
      <c r="N29" s="60">
        <f t="shared" si="17"/>
        <v>5610.5246904657515</v>
      </c>
      <c r="O29" s="60">
        <f t="shared" si="17"/>
        <v>5778.840431179724</v>
      </c>
      <c r="P29" s="60">
        <f t="shared" si="17"/>
        <v>5952.205644115115</v>
      </c>
      <c r="Q29" s="60">
        <f t="shared" si="17"/>
        <v>6130.771813438568</v>
      </c>
      <c r="R29" s="60">
        <f t="shared" si="17"/>
        <v>6314.694967841725</v>
      </c>
      <c r="S29" s="60">
        <f t="shared" si="17"/>
        <v>6504.1358168769775</v>
      </c>
      <c r="T29" s="60">
        <f t="shared" si="17"/>
        <v>6699.259891383287</v>
      </c>
      <c r="U29" s="60">
        <f t="shared" si="17"/>
        <v>6900.237688124785</v>
      </c>
      <c r="V29" s="60">
        <f t="shared" si="17"/>
        <v>7107.244818768528</v>
      </c>
      <c r="W29" s="60">
        <f t="shared" si="17"/>
        <v>7320.462163331584</v>
      </c>
      <c r="X29" s="60">
        <f t="shared" si="17"/>
        <v>7540.076028231531</v>
      </c>
    </row>
    <row r="30" spans="1:24" ht="12" customHeight="1" hidden="1">
      <c r="A30" s="59" t="s">
        <v>62</v>
      </c>
      <c r="B30" s="63"/>
      <c r="C30" s="19"/>
      <c r="D30" s="19"/>
      <c r="E30" s="60">
        <f>E28-E29</f>
        <v>195700</v>
      </c>
      <c r="F30" s="60">
        <f aca="true" t="shared" si="18" ref="F30:X30">F28-F29</f>
        <v>188471</v>
      </c>
      <c r="G30" s="60">
        <f t="shared" si="18"/>
        <v>202225.13000000003</v>
      </c>
      <c r="H30" s="60">
        <f t="shared" si="18"/>
        <v>217039.88390000002</v>
      </c>
      <c r="I30" s="60">
        <f t="shared" si="18"/>
        <v>232998.92041700002</v>
      </c>
      <c r="J30" s="60">
        <f t="shared" si="18"/>
        <v>250192.55522951</v>
      </c>
      <c r="K30" s="60">
        <f t="shared" si="18"/>
        <v>268718.2924623954</v>
      </c>
      <c r="L30" s="60">
        <f t="shared" si="18"/>
        <v>288681.39865834726</v>
      </c>
      <c r="M30" s="60">
        <f t="shared" si="18"/>
        <v>310195.52263394406</v>
      </c>
      <c r="N30" s="60">
        <f t="shared" si="18"/>
        <v>333383.3648900765</v>
      </c>
      <c r="O30" s="60">
        <f t="shared" si="18"/>
        <v>358377.4005400621</v>
      </c>
      <c r="P30" s="60">
        <f t="shared" si="18"/>
        <v>385320.66003580985</v>
      </c>
      <c r="Q30" s="60">
        <f t="shared" si="18"/>
        <v>414367.57231479377</v>
      </c>
      <c r="R30" s="60">
        <f t="shared" si="18"/>
        <v>445684.8753603799</v>
      </c>
      <c r="S30" s="60">
        <f t="shared" si="18"/>
        <v>479452.5995674252</v>
      </c>
      <c r="T30" s="60">
        <f t="shared" si="18"/>
        <v>515865.12973638036</v>
      </c>
      <c r="U30" s="60">
        <f t="shared" si="18"/>
        <v>555132.3519849587</v>
      </c>
      <c r="V30" s="60">
        <f t="shared" si="18"/>
        <v>597480.8923695135</v>
      </c>
      <c r="W30" s="60">
        <f t="shared" si="18"/>
        <v>643155.4545516055</v>
      </c>
      <c r="X30" s="60">
        <f t="shared" si="18"/>
        <v>692420.2644320407</v>
      </c>
    </row>
    <row r="31" spans="1:38" ht="12.75" hidden="1">
      <c r="A31" s="17" t="s">
        <v>22</v>
      </c>
      <c r="B31" s="17"/>
      <c r="C31" s="18"/>
      <c r="D31" s="19"/>
      <c r="E31" s="18">
        <f>IF(E30&gt;$K$2,$K$2*$K$3,E30*$K$3)</f>
        <v>3862.5</v>
      </c>
      <c r="F31" s="18">
        <f aca="true" t="shared" si="19" ref="F31:X31">IF(F30&gt;$K$2,$K$2*$K$3,F30*$K$3)</f>
        <v>3862.5</v>
      </c>
      <c r="G31" s="18">
        <f t="shared" si="19"/>
        <v>3862.5</v>
      </c>
      <c r="H31" s="18">
        <f t="shared" si="19"/>
        <v>3862.5</v>
      </c>
      <c r="I31" s="18">
        <f t="shared" si="19"/>
        <v>3862.5</v>
      </c>
      <c r="J31" s="18">
        <f t="shared" si="19"/>
        <v>3862.5</v>
      </c>
      <c r="K31" s="18">
        <f t="shared" si="19"/>
        <v>3862.5</v>
      </c>
      <c r="L31" s="18">
        <f t="shared" si="19"/>
        <v>3862.5</v>
      </c>
      <c r="M31" s="18">
        <f t="shared" si="19"/>
        <v>3862.5</v>
      </c>
      <c r="N31" s="18">
        <f t="shared" si="19"/>
        <v>3862.5</v>
      </c>
      <c r="O31" s="18">
        <f t="shared" si="19"/>
        <v>3862.5</v>
      </c>
      <c r="P31" s="18">
        <f t="shared" si="19"/>
        <v>3862.5</v>
      </c>
      <c r="Q31" s="18">
        <f t="shared" si="19"/>
        <v>3862.5</v>
      </c>
      <c r="R31" s="18">
        <f t="shared" si="19"/>
        <v>3862.5</v>
      </c>
      <c r="S31" s="18">
        <f t="shared" si="19"/>
        <v>3862.5</v>
      </c>
      <c r="T31" s="18">
        <f t="shared" si="19"/>
        <v>3862.5</v>
      </c>
      <c r="U31" s="18">
        <f t="shared" si="19"/>
        <v>3862.5</v>
      </c>
      <c r="V31" s="18">
        <f t="shared" si="19"/>
        <v>3862.5</v>
      </c>
      <c r="W31" s="18">
        <f t="shared" si="19"/>
        <v>3862.5</v>
      </c>
      <c r="X31" s="18">
        <f t="shared" si="19"/>
        <v>3862.5</v>
      </c>
      <c r="AL31" s="2"/>
    </row>
    <row r="32" spans="1:38" ht="12.75" hidden="1">
      <c r="A32" s="16" t="s">
        <v>23</v>
      </c>
      <c r="B32" s="17"/>
      <c r="C32" s="18"/>
      <c r="D32" s="19"/>
      <c r="E32" s="18">
        <f aca="true" t="shared" si="20" ref="E32:X32">IF(E30&gt;$K$4,(($K$4-$K$2)*$K$5),((E30-$K$2)*$K$5))</f>
        <v>10276.000000000002</v>
      </c>
      <c r="F32" s="18">
        <f t="shared" si="20"/>
        <v>10276.000000000002</v>
      </c>
      <c r="G32" s="18">
        <f t="shared" si="20"/>
        <v>10276.000000000002</v>
      </c>
      <c r="H32" s="18">
        <f t="shared" si="20"/>
        <v>10276.000000000002</v>
      </c>
      <c r="I32" s="18">
        <f t="shared" si="20"/>
        <v>10276.000000000002</v>
      </c>
      <c r="J32" s="18">
        <f t="shared" si="20"/>
        <v>10276.000000000002</v>
      </c>
      <c r="K32" s="18">
        <f t="shared" si="20"/>
        <v>10276.000000000002</v>
      </c>
      <c r="L32" s="18">
        <f t="shared" si="20"/>
        <v>10276.000000000002</v>
      </c>
      <c r="M32" s="18">
        <f t="shared" si="20"/>
        <v>10276.000000000002</v>
      </c>
      <c r="N32" s="18">
        <f t="shared" si="20"/>
        <v>10276.000000000002</v>
      </c>
      <c r="O32" s="18">
        <f t="shared" si="20"/>
        <v>10276.000000000002</v>
      </c>
      <c r="P32" s="18">
        <f t="shared" si="20"/>
        <v>10276.000000000002</v>
      </c>
      <c r="Q32" s="18">
        <f t="shared" si="20"/>
        <v>10276.000000000002</v>
      </c>
      <c r="R32" s="18">
        <f t="shared" si="20"/>
        <v>10276.000000000002</v>
      </c>
      <c r="S32" s="18">
        <f t="shared" si="20"/>
        <v>10276.000000000002</v>
      </c>
      <c r="T32" s="18">
        <f t="shared" si="20"/>
        <v>10276.000000000002</v>
      </c>
      <c r="U32" s="18">
        <f t="shared" si="20"/>
        <v>10276.000000000002</v>
      </c>
      <c r="V32" s="18">
        <f t="shared" si="20"/>
        <v>10276.000000000002</v>
      </c>
      <c r="W32" s="18">
        <f t="shared" si="20"/>
        <v>10276.000000000002</v>
      </c>
      <c r="X32" s="18">
        <f t="shared" si="20"/>
        <v>10276.000000000002</v>
      </c>
      <c r="AL32" s="2"/>
    </row>
    <row r="33" spans="1:38" ht="12.75" hidden="1">
      <c r="A33" s="16" t="s">
        <v>24</v>
      </c>
      <c r="B33" s="17"/>
      <c r="C33" s="18"/>
      <c r="D33" s="19"/>
      <c r="E33" s="18">
        <f aca="true" t="shared" si="21" ref="E33:X33">IF(E30&gt;$K$6,(($K$6-$K$4)*$K$7),((E30-$K$4)*$K$7))</f>
        <v>21018</v>
      </c>
      <c r="F33" s="18">
        <f t="shared" si="21"/>
        <v>21018</v>
      </c>
      <c r="G33" s="18">
        <f t="shared" si="21"/>
        <v>21018</v>
      </c>
      <c r="H33" s="18">
        <f t="shared" si="21"/>
        <v>21018</v>
      </c>
      <c r="I33" s="18">
        <f t="shared" si="21"/>
        <v>21018</v>
      </c>
      <c r="J33" s="18">
        <f t="shared" si="21"/>
        <v>21018</v>
      </c>
      <c r="K33" s="18">
        <f t="shared" si="21"/>
        <v>21018</v>
      </c>
      <c r="L33" s="18">
        <f t="shared" si="21"/>
        <v>21018</v>
      </c>
      <c r="M33" s="18">
        <f t="shared" si="21"/>
        <v>21018</v>
      </c>
      <c r="N33" s="18">
        <f t="shared" si="21"/>
        <v>21018</v>
      </c>
      <c r="O33" s="18">
        <f t="shared" si="21"/>
        <v>21018</v>
      </c>
      <c r="P33" s="18">
        <f t="shared" si="21"/>
        <v>21018</v>
      </c>
      <c r="Q33" s="18">
        <f t="shared" si="21"/>
        <v>21018</v>
      </c>
      <c r="R33" s="18">
        <f t="shared" si="21"/>
        <v>21018</v>
      </c>
      <c r="S33" s="18">
        <f t="shared" si="21"/>
        <v>21018</v>
      </c>
      <c r="T33" s="18">
        <f t="shared" si="21"/>
        <v>21018</v>
      </c>
      <c r="U33" s="18">
        <f t="shared" si="21"/>
        <v>21018</v>
      </c>
      <c r="V33" s="18">
        <f t="shared" si="21"/>
        <v>21018</v>
      </c>
      <c r="W33" s="18">
        <f t="shared" si="21"/>
        <v>21018</v>
      </c>
      <c r="X33" s="18">
        <f t="shared" si="21"/>
        <v>21018</v>
      </c>
      <c r="AL33" s="2"/>
    </row>
    <row r="34" spans="1:38" ht="12.75" hidden="1">
      <c r="A34" s="16" t="s">
        <v>25</v>
      </c>
      <c r="B34" s="17"/>
      <c r="C34" s="18"/>
      <c r="D34" s="19"/>
      <c r="E34" s="18">
        <f aca="true" t="shared" si="22" ref="E34:X34">IF(E30&gt;$K$6,((E30-$K$6)*$K$8),0)</f>
        <v>23562</v>
      </c>
      <c r="F34" s="18">
        <f t="shared" si="22"/>
        <v>20959.559999999998</v>
      </c>
      <c r="G34" s="18">
        <f t="shared" si="22"/>
        <v>25911.04680000001</v>
      </c>
      <c r="H34" s="18">
        <f t="shared" si="22"/>
        <v>31244.358204000004</v>
      </c>
      <c r="I34" s="18">
        <f t="shared" si="22"/>
        <v>36989.61135012</v>
      </c>
      <c r="J34" s="18">
        <f t="shared" si="22"/>
        <v>43179.319882623604</v>
      </c>
      <c r="K34" s="18">
        <f t="shared" si="22"/>
        <v>49848.58528646234</v>
      </c>
      <c r="L34" s="18">
        <f t="shared" si="22"/>
        <v>57035.30351700501</v>
      </c>
      <c r="M34" s="18">
        <f t="shared" si="22"/>
        <v>64780.388148219856</v>
      </c>
      <c r="N34" s="18">
        <f t="shared" si="22"/>
        <v>73128.01136042754</v>
      </c>
      <c r="O34" s="18">
        <f t="shared" si="22"/>
        <v>82125.86419442236</v>
      </c>
      <c r="P34" s="18">
        <f t="shared" si="22"/>
        <v>91825.43761289155</v>
      </c>
      <c r="Q34" s="18">
        <f t="shared" si="22"/>
        <v>102282.32603332575</v>
      </c>
      <c r="R34" s="18">
        <f t="shared" si="22"/>
        <v>113556.55512973676</v>
      </c>
      <c r="S34" s="18">
        <f t="shared" si="22"/>
        <v>125712.93584427307</v>
      </c>
      <c r="T34" s="18">
        <f t="shared" si="22"/>
        <v>138821.44670509693</v>
      </c>
      <c r="U34" s="18">
        <f t="shared" si="22"/>
        <v>152957.64671458513</v>
      </c>
      <c r="V34" s="18">
        <f t="shared" si="22"/>
        <v>168203.12125302487</v>
      </c>
      <c r="W34" s="18">
        <f t="shared" si="22"/>
        <v>184645.963638578</v>
      </c>
      <c r="X34" s="18">
        <f t="shared" si="22"/>
        <v>202381.29519553465</v>
      </c>
      <c r="AL34" s="2"/>
    </row>
    <row r="35" spans="1:38" ht="12.75" hidden="1">
      <c r="A35" s="16" t="s">
        <v>26</v>
      </c>
      <c r="B35" s="17"/>
      <c r="C35" s="18"/>
      <c r="D35" s="19"/>
      <c r="E35" s="18">
        <f aca="true" t="shared" si="23" ref="E35:X35">SUMIF(E31:E34,"&gt;0",E31:E34)</f>
        <v>58718.5</v>
      </c>
      <c r="F35" s="18">
        <f t="shared" si="23"/>
        <v>56116.06</v>
      </c>
      <c r="G35" s="18">
        <f t="shared" si="23"/>
        <v>61067.54680000001</v>
      </c>
      <c r="H35" s="18">
        <f t="shared" si="23"/>
        <v>66400.858204</v>
      </c>
      <c r="I35" s="18">
        <f t="shared" si="23"/>
        <v>72146.11135012</v>
      </c>
      <c r="J35" s="18">
        <f t="shared" si="23"/>
        <v>78335.8198826236</v>
      </c>
      <c r="K35" s="18">
        <f t="shared" si="23"/>
        <v>85005.08528646233</v>
      </c>
      <c r="L35" s="18">
        <f t="shared" si="23"/>
        <v>92191.80351700501</v>
      </c>
      <c r="M35" s="18">
        <f t="shared" si="23"/>
        <v>99936.88814821985</v>
      </c>
      <c r="N35" s="18">
        <f t="shared" si="23"/>
        <v>108284.51136042754</v>
      </c>
      <c r="O35" s="18">
        <f t="shared" si="23"/>
        <v>117282.36419442236</v>
      </c>
      <c r="P35" s="18">
        <f t="shared" si="23"/>
        <v>126981.93761289155</v>
      </c>
      <c r="Q35" s="18">
        <f t="shared" si="23"/>
        <v>137438.82603332575</v>
      </c>
      <c r="R35" s="18">
        <f t="shared" si="23"/>
        <v>148713.05512973678</v>
      </c>
      <c r="S35" s="18">
        <f t="shared" si="23"/>
        <v>160869.43584427307</v>
      </c>
      <c r="T35" s="18">
        <f t="shared" si="23"/>
        <v>173977.94670509693</v>
      </c>
      <c r="U35" s="18">
        <f t="shared" si="23"/>
        <v>188114.14671458513</v>
      </c>
      <c r="V35" s="18">
        <f t="shared" si="23"/>
        <v>203359.62125302487</v>
      </c>
      <c r="W35" s="18">
        <f t="shared" si="23"/>
        <v>219802.463638578</v>
      </c>
      <c r="X35" s="20">
        <f t="shared" si="23"/>
        <v>237537.79519553465</v>
      </c>
      <c r="AL35" s="2"/>
    </row>
    <row r="36" spans="1:38" ht="12.75" hidden="1">
      <c r="A36" s="16" t="s">
        <v>27</v>
      </c>
      <c r="B36" s="21">
        <v>0.07</v>
      </c>
      <c r="C36" s="18"/>
      <c r="D36" s="19"/>
      <c r="E36" s="18">
        <f aca="true" t="shared" si="24" ref="E36:X36">$B$36*E28</f>
        <v>14000.000000000002</v>
      </c>
      <c r="F36" s="18">
        <f t="shared" si="24"/>
        <v>13503.000000000002</v>
      </c>
      <c r="G36" s="18">
        <f t="shared" si="24"/>
        <v>14475.090000000004</v>
      </c>
      <c r="H36" s="18">
        <f t="shared" si="24"/>
        <v>15521.702700000002</v>
      </c>
      <c r="I36" s="18">
        <f t="shared" si="24"/>
        <v>16648.702581</v>
      </c>
      <c r="J36" s="18">
        <f t="shared" si="24"/>
        <v>17862.420362430003</v>
      </c>
      <c r="K36" s="18">
        <f t="shared" si="24"/>
        <v>19169.690213622907</v>
      </c>
      <c r="L36" s="18">
        <f t="shared" si="24"/>
        <v>20577.8899395772</v>
      </c>
      <c r="M36" s="18">
        <f t="shared" si="24"/>
        <v>22094.984378873756</v>
      </c>
      <c r="N36" s="18">
        <f t="shared" si="24"/>
        <v>23729.57227063796</v>
      </c>
      <c r="O36" s="18">
        <f t="shared" si="24"/>
        <v>25490.936867986933</v>
      </c>
      <c r="P36" s="18">
        <f t="shared" si="24"/>
        <v>27389.10059759475</v>
      </c>
      <c r="Q36" s="18">
        <f t="shared" si="24"/>
        <v>29434.884088976265</v>
      </c>
      <c r="R36" s="18">
        <f t="shared" si="24"/>
        <v>31639.96992297552</v>
      </c>
      <c r="S36" s="18">
        <f t="shared" si="24"/>
        <v>34016.971476901155</v>
      </c>
      <c r="T36" s="18">
        <f t="shared" si="24"/>
        <v>36579.50727394346</v>
      </c>
      <c r="U36" s="18">
        <f t="shared" si="24"/>
        <v>39342.28127711585</v>
      </c>
      <c r="V36" s="18">
        <f t="shared" si="24"/>
        <v>42321.16960317975</v>
      </c>
      <c r="W36" s="18">
        <f t="shared" si="24"/>
        <v>45533.314170045596</v>
      </c>
      <c r="X36" s="18">
        <f t="shared" si="24"/>
        <v>48997.22383221906</v>
      </c>
      <c r="AL36" s="2"/>
    </row>
    <row r="37" spans="1:38" ht="12.75" hidden="1">
      <c r="A37" s="16" t="s">
        <v>58</v>
      </c>
      <c r="B37" s="21">
        <v>0.0595</v>
      </c>
      <c r="C37" s="18"/>
      <c r="D37" s="19"/>
      <c r="E37" s="18">
        <f aca="true" t="shared" si="25" ref="E37:X37">$B$37*E28</f>
        <v>11900</v>
      </c>
      <c r="F37" s="18">
        <f t="shared" si="25"/>
        <v>11477.55</v>
      </c>
      <c r="G37" s="18">
        <f t="shared" si="25"/>
        <v>12303.826500000001</v>
      </c>
      <c r="H37" s="18">
        <f t="shared" si="25"/>
        <v>13193.447295</v>
      </c>
      <c r="I37" s="18">
        <f t="shared" si="25"/>
        <v>14151.39719385</v>
      </c>
      <c r="J37" s="18">
        <f t="shared" si="25"/>
        <v>15183.057308065501</v>
      </c>
      <c r="K37" s="18">
        <f t="shared" si="25"/>
        <v>16294.23668157947</v>
      </c>
      <c r="L37" s="18">
        <f t="shared" si="25"/>
        <v>17491.206448640616</v>
      </c>
      <c r="M37" s="18">
        <f t="shared" si="25"/>
        <v>18780.73672204269</v>
      </c>
      <c r="N37" s="18">
        <f t="shared" si="25"/>
        <v>20170.136430042265</v>
      </c>
      <c r="O37" s="18">
        <f t="shared" si="25"/>
        <v>21667.29633778889</v>
      </c>
      <c r="P37" s="18">
        <f t="shared" si="25"/>
        <v>23280.735507955535</v>
      </c>
      <c r="Q37" s="18">
        <f t="shared" si="25"/>
        <v>25019.651475629824</v>
      </c>
      <c r="R37" s="18">
        <f t="shared" si="25"/>
        <v>26893.974434529187</v>
      </c>
      <c r="S37" s="18">
        <f t="shared" si="25"/>
        <v>28914.425755365977</v>
      </c>
      <c r="T37" s="18">
        <f t="shared" si="25"/>
        <v>31092.581182851936</v>
      </c>
      <c r="U37" s="18">
        <f t="shared" si="25"/>
        <v>33440.93908554847</v>
      </c>
      <c r="V37" s="18">
        <f t="shared" si="25"/>
        <v>35972.99416270278</v>
      </c>
      <c r="W37" s="18">
        <f t="shared" si="25"/>
        <v>38703.31704453875</v>
      </c>
      <c r="X37" s="18">
        <f t="shared" si="25"/>
        <v>41647.6402573862</v>
      </c>
      <c r="AL37" s="2"/>
    </row>
    <row r="38" spans="1:38" ht="12.75" hidden="1">
      <c r="A38" s="16" t="s">
        <v>28</v>
      </c>
      <c r="B38" s="21">
        <v>0.014273434432405472</v>
      </c>
      <c r="C38" s="18"/>
      <c r="D38" s="19"/>
      <c r="E38" s="18">
        <f aca="true" t="shared" si="26" ref="E38:X38">$B$38*E28</f>
        <v>2854.6868864810945</v>
      </c>
      <c r="F38" s="18">
        <f t="shared" si="26"/>
        <v>2753.3455020110155</v>
      </c>
      <c r="G38" s="18">
        <f t="shared" si="26"/>
        <v>2951.560685973831</v>
      </c>
      <c r="H38" s="18">
        <f t="shared" si="26"/>
        <v>3164.9715109677286</v>
      </c>
      <c r="I38" s="18">
        <f t="shared" si="26"/>
        <v>3394.773781064618</v>
      </c>
      <c r="J38" s="18">
        <f t="shared" si="26"/>
        <v>3642.258369245843</v>
      </c>
      <c r="K38" s="18">
        <f t="shared" si="26"/>
        <v>3908.8188050524486</v>
      </c>
      <c r="L38" s="18">
        <f t="shared" si="26"/>
        <v>4195.9594687115905</v>
      </c>
      <c r="M38" s="18">
        <f t="shared" si="26"/>
        <v>4505.30444024111</v>
      </c>
      <c r="N38" s="18">
        <f t="shared" si="26"/>
        <v>4838.607055913971</v>
      </c>
      <c r="O38" s="18">
        <f t="shared" si="26"/>
        <v>5197.760228654268</v>
      </c>
      <c r="P38" s="18">
        <f t="shared" si="26"/>
        <v>5584.807593461803</v>
      </c>
      <c r="Q38" s="18">
        <f t="shared" si="26"/>
        <v>6001.955543849397</v>
      </c>
      <c r="R38" s="18">
        <f t="shared" si="26"/>
        <v>6451.586230555318</v>
      </c>
      <c r="S38" s="18">
        <f t="shared" si="26"/>
        <v>6936.271599493653</v>
      </c>
      <c r="T38" s="18">
        <f t="shared" si="26"/>
        <v>7458.788552061871</v>
      </c>
      <c r="U38" s="18">
        <f t="shared" si="26"/>
        <v>8022.135317573807</v>
      </c>
      <c r="V38" s="18">
        <f t="shared" si="26"/>
        <v>8629.549134767109</v>
      </c>
      <c r="W38" s="18">
        <f t="shared" si="26"/>
        <v>9284.525347089497</v>
      </c>
      <c r="X38" s="18">
        <f t="shared" si="26"/>
        <v>9990.838024843908</v>
      </c>
      <c r="AL38" s="2"/>
    </row>
    <row r="39" spans="1:38" ht="12.75" hidden="1">
      <c r="A39" s="22" t="s">
        <v>29</v>
      </c>
      <c r="B39" s="23"/>
      <c r="C39" s="24"/>
      <c r="D39" s="25"/>
      <c r="E39" s="24">
        <f aca="true" t="shared" si="27" ref="E39:X39">SUM(E35:E38)</f>
        <v>87473.1868864811</v>
      </c>
      <c r="F39" s="24">
        <f t="shared" si="27"/>
        <v>83849.95550201101</v>
      </c>
      <c r="G39" s="24">
        <f t="shared" si="27"/>
        <v>90798.02398597384</v>
      </c>
      <c r="H39" s="24">
        <f t="shared" si="27"/>
        <v>98280.97970996775</v>
      </c>
      <c r="I39" s="24">
        <f t="shared" si="27"/>
        <v>106340.98490603463</v>
      </c>
      <c r="J39" s="24">
        <f t="shared" si="27"/>
        <v>115023.55592236495</v>
      </c>
      <c r="K39" s="24">
        <f t="shared" si="27"/>
        <v>124377.83098671715</v>
      </c>
      <c r="L39" s="24">
        <f t="shared" si="27"/>
        <v>134456.85937393442</v>
      </c>
      <c r="M39" s="24">
        <f t="shared" si="27"/>
        <v>145317.9136893774</v>
      </c>
      <c r="N39" s="24">
        <f t="shared" si="27"/>
        <v>157022.82711702175</v>
      </c>
      <c r="O39" s="24">
        <f t="shared" si="27"/>
        <v>169638.35762885248</v>
      </c>
      <c r="P39" s="24">
        <f t="shared" si="27"/>
        <v>183236.58131190363</v>
      </c>
      <c r="Q39" s="24">
        <f t="shared" si="27"/>
        <v>197895.3171417812</v>
      </c>
      <c r="R39" s="24">
        <f t="shared" si="27"/>
        <v>213698.5857177968</v>
      </c>
      <c r="S39" s="24">
        <f t="shared" si="27"/>
        <v>230737.10467603386</v>
      </c>
      <c r="T39" s="24">
        <f t="shared" si="27"/>
        <v>249108.82371395416</v>
      </c>
      <c r="U39" s="24">
        <f t="shared" si="27"/>
        <v>268919.50239482324</v>
      </c>
      <c r="V39" s="24">
        <f t="shared" si="27"/>
        <v>290283.3341536745</v>
      </c>
      <c r="W39" s="24">
        <f t="shared" si="27"/>
        <v>313323.6202002518</v>
      </c>
      <c r="X39" s="26">
        <f t="shared" si="27"/>
        <v>338173.4973099838</v>
      </c>
      <c r="AL39" s="2"/>
    </row>
    <row r="40" spans="1:24" ht="12" customHeight="1">
      <c r="A40" s="14" t="s">
        <v>34</v>
      </c>
      <c r="B40" s="30"/>
      <c r="E40" s="15">
        <f aca="true" t="shared" si="28" ref="E40:X40">E28-E39</f>
        <v>112526.8131135189</v>
      </c>
      <c r="F40" s="15">
        <f t="shared" si="28"/>
        <v>109050.04449798899</v>
      </c>
      <c r="G40" s="15">
        <f t="shared" si="28"/>
        <v>115988.9760140262</v>
      </c>
      <c r="H40" s="15">
        <f t="shared" si="28"/>
        <v>123457.63029003226</v>
      </c>
      <c r="I40" s="15">
        <f t="shared" si="28"/>
        <v>131497.6233939654</v>
      </c>
      <c r="J40" s="15">
        <f t="shared" si="28"/>
        <v>140153.8778266351</v>
      </c>
      <c r="K40" s="15">
        <f t="shared" si="28"/>
        <v>149474.88635075296</v>
      </c>
      <c r="L40" s="15">
        <f t="shared" si="28"/>
        <v>159512.9969057398</v>
      </c>
      <c r="M40" s="15">
        <f t="shared" si="28"/>
        <v>170324.72029453338</v>
      </c>
      <c r="N40" s="15">
        <f t="shared" si="28"/>
        <v>181971.06246352053</v>
      </c>
      <c r="O40" s="15">
        <f t="shared" si="28"/>
        <v>194517.88334238937</v>
      </c>
      <c r="P40" s="15">
        <f t="shared" si="28"/>
        <v>208036.28436802133</v>
      </c>
      <c r="Q40" s="15">
        <f t="shared" si="28"/>
        <v>222603.02698645112</v>
      </c>
      <c r="R40" s="15">
        <f t="shared" si="28"/>
        <v>238300.98461042484</v>
      </c>
      <c r="S40" s="15">
        <f t="shared" si="28"/>
        <v>255219.6307082683</v>
      </c>
      <c r="T40" s="15">
        <f t="shared" si="28"/>
        <v>273455.56591380946</v>
      </c>
      <c r="U40" s="15">
        <f t="shared" si="28"/>
        <v>293113.08727826027</v>
      </c>
      <c r="V40" s="15">
        <f t="shared" si="28"/>
        <v>314304.8030346076</v>
      </c>
      <c r="W40" s="15">
        <f t="shared" si="28"/>
        <v>337152.29651468527</v>
      </c>
      <c r="X40" s="15">
        <f t="shared" si="28"/>
        <v>361786.84315028845</v>
      </c>
    </row>
    <row r="41" spans="1:24" s="28" customFormat="1" ht="12" customHeight="1">
      <c r="A41" s="27" t="s">
        <v>35</v>
      </c>
      <c r="E41" s="29">
        <f aca="true" t="shared" si="29" ref="E41:X41">E40-E24</f>
        <v>74369.77980961678</v>
      </c>
      <c r="F41" s="29">
        <f t="shared" si="29"/>
        <v>68168.4485297747</v>
      </c>
      <c r="G41" s="29">
        <f t="shared" si="29"/>
        <v>72197.03570835476</v>
      </c>
      <c r="H41" s="29">
        <f t="shared" si="29"/>
        <v>76650.72374490713</v>
      </c>
      <c r="I41" s="29">
        <f t="shared" si="29"/>
        <v>81436.67457978023</v>
      </c>
      <c r="J41" s="29">
        <f t="shared" si="29"/>
        <v>86580.74826950161</v>
      </c>
      <c r="K41" s="29">
        <f t="shared" si="29"/>
        <v>92110.8520461009</v>
      </c>
      <c r="L41" s="29">
        <f t="shared" si="29"/>
        <v>98057.10344227921</v>
      </c>
      <c r="M41" s="29">
        <f t="shared" si="29"/>
        <v>104452.00644712654</v>
      </c>
      <c r="N41" s="29">
        <f t="shared" si="29"/>
        <v>111330.64173424561</v>
      </c>
      <c r="O41" s="29">
        <f t="shared" si="29"/>
        <v>118730.87208747468</v>
      </c>
      <c r="P41" s="29">
        <f t="shared" si="29"/>
        <v>126693.56423939674</v>
      </c>
      <c r="Q41" s="29">
        <f t="shared" si="29"/>
        <v>135786.77390499256</v>
      </c>
      <c r="R41" s="29">
        <f t="shared" si="29"/>
        <v>145588.46517509146</v>
      </c>
      <c r="S41" s="29">
        <f t="shared" si="29"/>
        <v>156142.4542275294</v>
      </c>
      <c r="T41" s="29">
        <f t="shared" si="29"/>
        <v>167507.96975931525</v>
      </c>
      <c r="U41" s="29">
        <f t="shared" si="29"/>
        <v>179748.95010945143</v>
      </c>
      <c r="V41" s="29">
        <f t="shared" si="29"/>
        <v>192934.41917068028</v>
      </c>
      <c r="W41" s="29">
        <f t="shared" si="29"/>
        <v>207138.89234838157</v>
      </c>
      <c r="X41" s="29">
        <f t="shared" si="29"/>
        <v>222442.81496962046</v>
      </c>
    </row>
    <row r="42" spans="1:24" s="28" customFormat="1" ht="12" customHeight="1">
      <c r="A42" s="27" t="s">
        <v>57</v>
      </c>
      <c r="C42" s="50">
        <f>E7*-1</f>
        <v>-5000</v>
      </c>
      <c r="D42" s="50">
        <f>E8*-1</f>
        <v>-5000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5" s="28" customFormat="1" ht="12.75">
      <c r="A43" s="28" t="s">
        <v>36</v>
      </c>
      <c r="D43" s="31"/>
      <c r="E43" s="29">
        <f>AD58*-1</f>
        <v>-5092.61044115753</v>
      </c>
      <c r="F43" s="29">
        <f aca="true" t="shared" si="30" ref="F43:N43">E43</f>
        <v>-5092.61044115753</v>
      </c>
      <c r="G43" s="29">
        <f t="shared" si="30"/>
        <v>-5092.61044115753</v>
      </c>
      <c r="H43" s="29">
        <f t="shared" si="30"/>
        <v>-5092.61044115753</v>
      </c>
      <c r="I43" s="29">
        <f t="shared" si="30"/>
        <v>-5092.61044115753</v>
      </c>
      <c r="J43" s="29">
        <f t="shared" si="30"/>
        <v>-5092.61044115753</v>
      </c>
      <c r="K43" s="29">
        <f t="shared" si="30"/>
        <v>-5092.61044115753</v>
      </c>
      <c r="L43" s="29">
        <f t="shared" si="30"/>
        <v>-5092.61044115753</v>
      </c>
      <c r="M43" s="29">
        <f t="shared" si="30"/>
        <v>-5092.61044115753</v>
      </c>
      <c r="N43" s="29">
        <f t="shared" si="30"/>
        <v>-5092.61044115753</v>
      </c>
      <c r="O43" s="29">
        <f>IF($E$4=10," ",N43)</f>
        <v>-5092.61044115753</v>
      </c>
      <c r="P43" s="29">
        <f aca="true" t="shared" si="31" ref="P43:X43">IF($E$4="10"," ",O43)</f>
        <v>-5092.61044115753</v>
      </c>
      <c r="Q43" s="29">
        <f t="shared" si="31"/>
        <v>-5092.61044115753</v>
      </c>
      <c r="R43" s="29">
        <f t="shared" si="31"/>
        <v>-5092.61044115753</v>
      </c>
      <c r="S43" s="29">
        <f t="shared" si="31"/>
        <v>-5092.61044115753</v>
      </c>
      <c r="T43" s="29">
        <f t="shared" si="31"/>
        <v>-5092.61044115753</v>
      </c>
      <c r="U43" s="29">
        <f t="shared" si="31"/>
        <v>-5092.61044115753</v>
      </c>
      <c r="V43" s="29">
        <f t="shared" si="31"/>
        <v>-5092.61044115753</v>
      </c>
      <c r="W43" s="29">
        <f t="shared" si="31"/>
        <v>-5092.61044115753</v>
      </c>
      <c r="X43" s="29">
        <f t="shared" si="31"/>
        <v>-5092.61044115753</v>
      </c>
      <c r="Y43" s="32"/>
    </row>
    <row r="44" spans="1:4" s="28" customFormat="1" ht="12.75">
      <c r="A44" s="28" t="s">
        <v>37</v>
      </c>
      <c r="C44" s="29">
        <f>C12*(1-B4)+B5</f>
        <v>-32500</v>
      </c>
      <c r="D44" s="29">
        <f>D12*(1-B4)+B5</f>
        <v>-35100</v>
      </c>
    </row>
    <row r="45" spans="1:24" s="28" customFormat="1" ht="12.75">
      <c r="A45" s="28" t="s">
        <v>38</v>
      </c>
      <c r="D45" s="29">
        <f>B6</f>
        <v>20000</v>
      </c>
      <c r="X45" s="33">
        <f>SUM(X41:X44)</f>
        <v>217350.20452846293</v>
      </c>
    </row>
    <row r="46" spans="1:24" ht="3.75" customHeight="1">
      <c r="A46" s="1"/>
      <c r="X46"/>
    </row>
    <row r="47" spans="1:26" s="1" customFormat="1" ht="12.75">
      <c r="A47" s="34" t="s">
        <v>39</v>
      </c>
      <c r="B47" s="35"/>
      <c r="C47" s="36">
        <f aca="true" t="shared" si="32" ref="C47:W47">SUM(C41:C45)</f>
        <v>-37500</v>
      </c>
      <c r="D47" s="36">
        <f t="shared" si="32"/>
        <v>-20100</v>
      </c>
      <c r="E47" s="36">
        <f t="shared" si="32"/>
        <v>69277.16936845925</v>
      </c>
      <c r="F47" s="36">
        <f t="shared" si="32"/>
        <v>63075.83808861717</v>
      </c>
      <c r="G47" s="36">
        <f t="shared" si="32"/>
        <v>67104.42526719722</v>
      </c>
      <c r="H47" s="36">
        <f t="shared" si="32"/>
        <v>71558.11330374959</v>
      </c>
      <c r="I47" s="36">
        <f t="shared" si="32"/>
        <v>76344.06413862269</v>
      </c>
      <c r="J47" s="36">
        <f t="shared" si="32"/>
        <v>81488.13782834407</v>
      </c>
      <c r="K47" s="36">
        <f t="shared" si="32"/>
        <v>87018.24160494337</v>
      </c>
      <c r="L47" s="36">
        <f t="shared" si="32"/>
        <v>92964.49300112168</v>
      </c>
      <c r="M47" s="36">
        <f t="shared" si="32"/>
        <v>99359.396005969</v>
      </c>
      <c r="N47" s="36">
        <f t="shared" si="32"/>
        <v>106238.03129308808</v>
      </c>
      <c r="O47" s="36">
        <f t="shared" si="32"/>
        <v>113638.26164631714</v>
      </c>
      <c r="P47" s="36">
        <f t="shared" si="32"/>
        <v>121600.9537982392</v>
      </c>
      <c r="Q47" s="36">
        <f t="shared" si="32"/>
        <v>130694.16346383502</v>
      </c>
      <c r="R47" s="36">
        <f t="shared" si="32"/>
        <v>140495.85473393393</v>
      </c>
      <c r="S47" s="36">
        <f t="shared" si="32"/>
        <v>151049.84378637187</v>
      </c>
      <c r="T47" s="36">
        <f t="shared" si="32"/>
        <v>162415.35931815772</v>
      </c>
      <c r="U47" s="36">
        <f t="shared" si="32"/>
        <v>174656.3396682939</v>
      </c>
      <c r="V47" s="36">
        <f t="shared" si="32"/>
        <v>187841.80872952275</v>
      </c>
      <c r="W47" s="36">
        <f t="shared" si="32"/>
        <v>202046.28190722404</v>
      </c>
      <c r="X47" s="37">
        <f>X45+X51</f>
        <v>2390852.2498130924</v>
      </c>
      <c r="Y47" s="38"/>
      <c r="Z47" s="29"/>
    </row>
    <row r="48" spans="1:24" s="28" customFormat="1" ht="12.75">
      <c r="A48" s="28" t="s">
        <v>40</v>
      </c>
      <c r="C48" s="29">
        <f>C47</f>
        <v>-37500</v>
      </c>
      <c r="D48" s="29">
        <f>SUM($C$47:D47)</f>
        <v>-57600</v>
      </c>
      <c r="E48" s="29">
        <f>SUM($C$47:E47)</f>
        <v>11677.169368459246</v>
      </c>
      <c r="F48" s="29">
        <f>SUM($C$47:F47)</f>
        <v>74753.00745707643</v>
      </c>
      <c r="G48" s="29">
        <f>SUM($C$47:G47)</f>
        <v>141857.43272427365</v>
      </c>
      <c r="H48" s="29">
        <f>SUM($C$47:H47)</f>
        <v>213415.54602802324</v>
      </c>
      <c r="I48" s="29">
        <f>SUM($C$47:I47)</f>
        <v>289759.61016664596</v>
      </c>
      <c r="J48" s="29">
        <f>SUM($C$47:J47)</f>
        <v>371247.74799499003</v>
      </c>
      <c r="K48" s="29">
        <f>SUM($C$47:K47)</f>
        <v>458265.9895999334</v>
      </c>
      <c r="L48" s="29">
        <f>SUM($C$47:L47)</f>
        <v>551230.4826010551</v>
      </c>
      <c r="M48" s="29">
        <f>SUM($C$47:M47)</f>
        <v>650589.8786070241</v>
      </c>
      <c r="N48" s="29">
        <f>SUM($C$47:N47)</f>
        <v>756827.9099001122</v>
      </c>
      <c r="O48" s="29">
        <f>SUM($C$47:O47)</f>
        <v>870466.1715464294</v>
      </c>
      <c r="P48" s="29">
        <f>SUM($C$47:P47)</f>
        <v>992067.1253446686</v>
      </c>
      <c r="Q48" s="29">
        <f>SUM($C$47:Q47)</f>
        <v>1122761.2888085037</v>
      </c>
      <c r="R48" s="29">
        <f>SUM($C$47:R47)</f>
        <v>1263257.1435424376</v>
      </c>
      <c r="S48" s="29">
        <f>SUM($C$47:S47)</f>
        <v>1414306.9873288095</v>
      </c>
      <c r="T48" s="29">
        <f>SUM($C$47:T47)</f>
        <v>1576722.346646967</v>
      </c>
      <c r="U48" s="29">
        <f>SUM($C$47:U47)</f>
        <v>1751378.686315261</v>
      </c>
      <c r="V48" s="29">
        <f>SUM($C$47:V47)</f>
        <v>1939220.4950447837</v>
      </c>
      <c r="W48" s="29">
        <f>SUM($C$47:W47)</f>
        <v>2141266.776952008</v>
      </c>
      <c r="X48" s="29">
        <f>SUM($C$47:X47)</f>
        <v>4532119.026765101</v>
      </c>
    </row>
    <row r="49" ht="3.75" customHeight="1"/>
    <row r="50" spans="1:24" ht="12.75">
      <c r="A50" s="2" t="s">
        <v>56</v>
      </c>
      <c r="C50" s="70" t="s">
        <v>41</v>
      </c>
      <c r="D50" s="68">
        <f>IRR(C47:X47)</f>
        <v>0.7909901635786588</v>
      </c>
      <c r="E50" s="40"/>
      <c r="F50" s="40"/>
      <c r="P50" s="41"/>
      <c r="Q50" s="41"/>
      <c r="R50" s="41"/>
      <c r="S50" s="41"/>
      <c r="T50" s="41"/>
      <c r="U50" s="41"/>
      <c r="V50" s="41"/>
      <c r="W50" s="39" t="s">
        <v>42</v>
      </c>
      <c r="X50" s="41">
        <f>(X45-W47)/W47</f>
        <v>0.075744638687616</v>
      </c>
    </row>
    <row r="51" spans="1:24" ht="12.75">
      <c r="A51" s="2" t="s">
        <v>70</v>
      </c>
      <c r="C51" s="71" t="s">
        <v>43</v>
      </c>
      <c r="D51" s="69">
        <f>NPV(B7,C47:X47)</f>
        <v>908486.4763573015</v>
      </c>
      <c r="E51" s="38"/>
      <c r="F51" s="38"/>
      <c r="W51" s="42" t="s">
        <v>44</v>
      </c>
      <c r="X51" s="29">
        <f>IF(H7="Constant",X45/B7,X45/(B7-X50))</f>
        <v>2173502.0452846293</v>
      </c>
    </row>
    <row r="52" spans="23:29" ht="12.75">
      <c r="W52" s="15"/>
      <c r="Z52" s="28" t="s">
        <v>45</v>
      </c>
      <c r="AA52" s="28"/>
      <c r="AB52" s="43">
        <f>E3</f>
        <v>0.08</v>
      </c>
      <c r="AC52" s="28"/>
    </row>
    <row r="53" spans="23:29" ht="12.75">
      <c r="W53" s="15"/>
      <c r="Z53" s="28"/>
      <c r="AA53" s="28"/>
      <c r="AB53" s="43"/>
      <c r="AC53" s="28"/>
    </row>
    <row r="54" spans="3:31" ht="12.75">
      <c r="C54"/>
      <c r="D54"/>
      <c r="Z54" s="28" t="s">
        <v>46</v>
      </c>
      <c r="AA54" s="28"/>
      <c r="AB54" s="44">
        <f>E4</f>
        <v>20</v>
      </c>
      <c r="AC54" s="28"/>
      <c r="AD54" s="45" t="s">
        <v>47</v>
      </c>
      <c r="AE54" s="29">
        <f>E2</f>
        <v>50000</v>
      </c>
    </row>
    <row r="55" spans="3:31" ht="12.75">
      <c r="C55"/>
      <c r="D55"/>
      <c r="Z55" s="28" t="s">
        <v>48</v>
      </c>
      <c r="AA55" s="28"/>
      <c r="AB55" s="28"/>
      <c r="AC55" s="28"/>
      <c r="AD55" s="28"/>
      <c r="AE55" s="28"/>
    </row>
    <row r="56" spans="3:31" ht="12.75">
      <c r="C56"/>
      <c r="D56"/>
      <c r="Z56" s="46" t="s">
        <v>49</v>
      </c>
      <c r="AA56" s="46" t="s">
        <v>50</v>
      </c>
      <c r="AB56" s="46" t="s">
        <v>51</v>
      </c>
      <c r="AC56" s="46" t="s">
        <v>52</v>
      </c>
      <c r="AD56" s="46" t="s">
        <v>53</v>
      </c>
      <c r="AE56" s="46" t="s">
        <v>54</v>
      </c>
    </row>
    <row r="57" spans="26:31" ht="12.75">
      <c r="Z57" s="46"/>
      <c r="AA57" s="46"/>
      <c r="AB57" s="46"/>
      <c r="AC57" s="46"/>
      <c r="AD57" s="46"/>
      <c r="AE57" s="46"/>
    </row>
    <row r="58" spans="26:31" ht="12.75">
      <c r="Z58" s="28">
        <v>1</v>
      </c>
      <c r="AA58" s="49">
        <f>AE54</f>
        <v>50000</v>
      </c>
      <c r="AB58" s="47">
        <f aca="true" t="shared" si="33" ref="AB58:AB67">AA58*$AB$52</f>
        <v>4000</v>
      </c>
      <c r="AC58" s="47">
        <f aca="true" t="shared" si="34" ref="AC58:AC67">AD58-AB58</f>
        <v>1092.6104411575297</v>
      </c>
      <c r="AD58" s="47">
        <f aca="true" t="shared" si="35" ref="AD58:AD67">-PMT($AB$52,$AB$54,$AA$58)</f>
        <v>5092.61044115753</v>
      </c>
      <c r="AE58" s="47">
        <f aca="true" t="shared" si="36" ref="AE58:AE67">AA58-AC58</f>
        <v>48907.38955884247</v>
      </c>
    </row>
    <row r="59" spans="26:31" ht="12.75">
      <c r="Z59" s="28">
        <f aca="true" t="shared" si="37" ref="Z59:Z77">Z58+1</f>
        <v>2</v>
      </c>
      <c r="AA59" s="47">
        <f aca="true" t="shared" si="38" ref="AA59:AA67">AE58</f>
        <v>48907.38955884247</v>
      </c>
      <c r="AB59" s="47">
        <f t="shared" si="33"/>
        <v>3912.5911647073976</v>
      </c>
      <c r="AC59" s="47">
        <f t="shared" si="34"/>
        <v>1180.019276450132</v>
      </c>
      <c r="AD59" s="47">
        <f t="shared" si="35"/>
        <v>5092.61044115753</v>
      </c>
      <c r="AE59" s="47">
        <f t="shared" si="36"/>
        <v>47727.37028239234</v>
      </c>
    </row>
    <row r="60" spans="26:31" ht="12.75">
      <c r="Z60" s="28">
        <f t="shared" si="37"/>
        <v>3</v>
      </c>
      <c r="AA60" s="47">
        <f t="shared" si="38"/>
        <v>47727.37028239234</v>
      </c>
      <c r="AB60" s="47">
        <f t="shared" si="33"/>
        <v>3818.189622591387</v>
      </c>
      <c r="AC60" s="47">
        <f t="shared" si="34"/>
        <v>1274.4208185661428</v>
      </c>
      <c r="AD60" s="47">
        <f t="shared" si="35"/>
        <v>5092.61044115753</v>
      </c>
      <c r="AE60" s="47">
        <f t="shared" si="36"/>
        <v>46452.9494638262</v>
      </c>
    </row>
    <row r="61" spans="26:31" ht="12.75">
      <c r="Z61" s="28">
        <f t="shared" si="37"/>
        <v>4</v>
      </c>
      <c r="AA61" s="47">
        <f t="shared" si="38"/>
        <v>46452.9494638262</v>
      </c>
      <c r="AB61" s="47">
        <f t="shared" si="33"/>
        <v>3716.2359571060956</v>
      </c>
      <c r="AC61" s="47">
        <f t="shared" si="34"/>
        <v>1376.3744840514341</v>
      </c>
      <c r="AD61" s="47">
        <f t="shared" si="35"/>
        <v>5092.61044115753</v>
      </c>
      <c r="AE61" s="47">
        <f t="shared" si="36"/>
        <v>45076.57497977476</v>
      </c>
    </row>
    <row r="62" spans="26:31" ht="12.75">
      <c r="Z62" s="28">
        <f t="shared" si="37"/>
        <v>5</v>
      </c>
      <c r="AA62" s="47">
        <f t="shared" si="38"/>
        <v>45076.57497977476</v>
      </c>
      <c r="AB62" s="47">
        <f t="shared" si="33"/>
        <v>3606.125998381981</v>
      </c>
      <c r="AC62" s="47">
        <f t="shared" si="34"/>
        <v>1486.4844427755488</v>
      </c>
      <c r="AD62" s="47">
        <f t="shared" si="35"/>
        <v>5092.61044115753</v>
      </c>
      <c r="AE62" s="47">
        <f t="shared" si="36"/>
        <v>43590.09053699921</v>
      </c>
    </row>
    <row r="63" spans="26:31" ht="12.75">
      <c r="Z63" s="28">
        <f t="shared" si="37"/>
        <v>6</v>
      </c>
      <c r="AA63" s="47">
        <f t="shared" si="38"/>
        <v>43590.09053699921</v>
      </c>
      <c r="AB63" s="47">
        <f t="shared" si="33"/>
        <v>3487.207242959937</v>
      </c>
      <c r="AC63" s="47">
        <f t="shared" si="34"/>
        <v>1605.4031981975927</v>
      </c>
      <c r="AD63" s="47">
        <f t="shared" si="35"/>
        <v>5092.61044115753</v>
      </c>
      <c r="AE63" s="47">
        <f t="shared" si="36"/>
        <v>41984.68733880162</v>
      </c>
    </row>
    <row r="64" spans="26:31" ht="12.75">
      <c r="Z64" s="28">
        <f t="shared" si="37"/>
        <v>7</v>
      </c>
      <c r="AA64" s="47">
        <f t="shared" si="38"/>
        <v>41984.68733880162</v>
      </c>
      <c r="AB64" s="47">
        <f t="shared" si="33"/>
        <v>3358.7749871041297</v>
      </c>
      <c r="AC64" s="47">
        <f t="shared" si="34"/>
        <v>1733.8354540534</v>
      </c>
      <c r="AD64" s="47">
        <f t="shared" si="35"/>
        <v>5092.61044115753</v>
      </c>
      <c r="AE64" s="47">
        <f t="shared" si="36"/>
        <v>40250.85188474822</v>
      </c>
    </row>
    <row r="65" spans="26:31" ht="12.75">
      <c r="Z65" s="28">
        <f t="shared" si="37"/>
        <v>8</v>
      </c>
      <c r="AA65" s="47">
        <f t="shared" si="38"/>
        <v>40250.85188474822</v>
      </c>
      <c r="AB65" s="47">
        <f t="shared" si="33"/>
        <v>3220.0681507798577</v>
      </c>
      <c r="AC65" s="47">
        <f t="shared" si="34"/>
        <v>1872.542290377672</v>
      </c>
      <c r="AD65" s="47">
        <f t="shared" si="35"/>
        <v>5092.61044115753</v>
      </c>
      <c r="AE65" s="47">
        <f t="shared" si="36"/>
        <v>38378.30959437055</v>
      </c>
    </row>
    <row r="66" spans="26:31" ht="12.75">
      <c r="Z66" s="28">
        <f t="shared" si="37"/>
        <v>9</v>
      </c>
      <c r="AA66" s="47">
        <f t="shared" si="38"/>
        <v>38378.30959437055</v>
      </c>
      <c r="AB66" s="47">
        <f t="shared" si="33"/>
        <v>3070.264767549644</v>
      </c>
      <c r="AC66" s="47">
        <f t="shared" si="34"/>
        <v>2022.3456736078856</v>
      </c>
      <c r="AD66" s="47">
        <f t="shared" si="35"/>
        <v>5092.61044115753</v>
      </c>
      <c r="AE66" s="47">
        <f t="shared" si="36"/>
        <v>36355.96392076266</v>
      </c>
    </row>
    <row r="67" spans="26:31" ht="12.75">
      <c r="Z67" s="1">
        <f t="shared" si="37"/>
        <v>10</v>
      </c>
      <c r="AA67" s="48">
        <f t="shared" si="38"/>
        <v>36355.96392076266</v>
      </c>
      <c r="AB67" s="48">
        <f t="shared" si="33"/>
        <v>2908.477113661013</v>
      </c>
      <c r="AC67" s="48">
        <f t="shared" si="34"/>
        <v>2184.133327496517</v>
      </c>
      <c r="AD67" s="48">
        <f t="shared" si="35"/>
        <v>5092.61044115753</v>
      </c>
      <c r="AE67" s="48">
        <f t="shared" si="36"/>
        <v>34171.830593266146</v>
      </c>
    </row>
    <row r="68" spans="26:31" ht="12.75">
      <c r="Z68" s="28">
        <f t="shared" si="37"/>
        <v>11</v>
      </c>
      <c r="AA68" s="47">
        <f aca="true" t="shared" si="39" ref="AA68:AA77">IF($AB$54="10"," ",AE67)</f>
        <v>34171.830593266146</v>
      </c>
      <c r="AB68" s="47">
        <f aca="true" t="shared" si="40" ref="AB68:AB77">IF($AB$54="10"," ",AA68*$AB$52)</f>
        <v>2733.7464474612916</v>
      </c>
      <c r="AC68" s="47">
        <f aca="true" t="shared" si="41" ref="AC68:AC77">IF($AB$54="10"," ",AD68-AB68)</f>
        <v>2358.863993696238</v>
      </c>
      <c r="AD68" s="47">
        <f aca="true" t="shared" si="42" ref="AD68:AD77">IF($AB$54="10"," ",-PMT($AB$52,$AB$54,$AA$58))</f>
        <v>5092.61044115753</v>
      </c>
      <c r="AE68" s="47">
        <f aca="true" t="shared" si="43" ref="AE68:AE77">IF($AB$54="10"," ",AA68-AC68)</f>
        <v>31812.966599569907</v>
      </c>
    </row>
    <row r="69" spans="26:31" ht="12.75">
      <c r="Z69" s="28">
        <f t="shared" si="37"/>
        <v>12</v>
      </c>
      <c r="AA69" s="47">
        <f t="shared" si="39"/>
        <v>31812.966599569907</v>
      </c>
      <c r="AB69" s="47">
        <f t="shared" si="40"/>
        <v>2545.037327965593</v>
      </c>
      <c r="AC69" s="47">
        <f t="shared" si="41"/>
        <v>2547.573113191937</v>
      </c>
      <c r="AD69" s="47">
        <f t="shared" si="42"/>
        <v>5092.61044115753</v>
      </c>
      <c r="AE69" s="47">
        <f t="shared" si="43"/>
        <v>29265.39348637797</v>
      </c>
    </row>
    <row r="70" spans="26:31" ht="12.75">
      <c r="Z70" s="28">
        <f t="shared" si="37"/>
        <v>13</v>
      </c>
      <c r="AA70" s="47">
        <f t="shared" si="39"/>
        <v>29265.39348637797</v>
      </c>
      <c r="AB70" s="47">
        <f t="shared" si="40"/>
        <v>2341.2314789102375</v>
      </c>
      <c r="AC70" s="47">
        <f t="shared" si="41"/>
        <v>2751.3789622472923</v>
      </c>
      <c r="AD70" s="47">
        <f t="shared" si="42"/>
        <v>5092.61044115753</v>
      </c>
      <c r="AE70" s="47">
        <f t="shared" si="43"/>
        <v>26514.014524130675</v>
      </c>
    </row>
    <row r="71" spans="26:31" ht="12.75">
      <c r="Z71" s="28">
        <f t="shared" si="37"/>
        <v>14</v>
      </c>
      <c r="AA71" s="47">
        <f t="shared" si="39"/>
        <v>26514.014524130675</v>
      </c>
      <c r="AB71" s="47">
        <f t="shared" si="40"/>
        <v>2121.121161930454</v>
      </c>
      <c r="AC71" s="47">
        <f t="shared" si="41"/>
        <v>2971.4892792270757</v>
      </c>
      <c r="AD71" s="47">
        <f t="shared" si="42"/>
        <v>5092.61044115753</v>
      </c>
      <c r="AE71" s="47">
        <f t="shared" si="43"/>
        <v>23542.525244903598</v>
      </c>
    </row>
    <row r="72" spans="26:31" ht="12.75">
      <c r="Z72" s="28">
        <f t="shared" si="37"/>
        <v>15</v>
      </c>
      <c r="AA72" s="47">
        <f t="shared" si="39"/>
        <v>23542.525244903598</v>
      </c>
      <c r="AB72" s="47">
        <f t="shared" si="40"/>
        <v>1883.4020195922878</v>
      </c>
      <c r="AC72" s="47">
        <f t="shared" si="41"/>
        <v>3209.208421565242</v>
      </c>
      <c r="AD72" s="47">
        <f t="shared" si="42"/>
        <v>5092.61044115753</v>
      </c>
      <c r="AE72" s="47">
        <f t="shared" si="43"/>
        <v>20333.316823338355</v>
      </c>
    </row>
    <row r="73" spans="26:31" ht="12.75">
      <c r="Z73" s="28">
        <f t="shared" si="37"/>
        <v>16</v>
      </c>
      <c r="AA73" s="47">
        <f t="shared" si="39"/>
        <v>20333.316823338355</v>
      </c>
      <c r="AB73" s="47">
        <f t="shared" si="40"/>
        <v>1626.6653458670685</v>
      </c>
      <c r="AC73" s="47">
        <f t="shared" si="41"/>
        <v>3465.9450952904613</v>
      </c>
      <c r="AD73" s="47">
        <f t="shared" si="42"/>
        <v>5092.61044115753</v>
      </c>
      <c r="AE73" s="47">
        <f t="shared" si="43"/>
        <v>16867.371728047892</v>
      </c>
    </row>
    <row r="74" spans="26:31" ht="12.75">
      <c r="Z74" s="28">
        <f t="shared" si="37"/>
        <v>17</v>
      </c>
      <c r="AA74" s="47">
        <f t="shared" si="39"/>
        <v>16867.371728047892</v>
      </c>
      <c r="AB74" s="47">
        <f t="shared" si="40"/>
        <v>1349.3897382438315</v>
      </c>
      <c r="AC74" s="47">
        <f t="shared" si="41"/>
        <v>3743.220702913698</v>
      </c>
      <c r="AD74" s="47">
        <f t="shared" si="42"/>
        <v>5092.61044115753</v>
      </c>
      <c r="AE74" s="47">
        <f t="shared" si="43"/>
        <v>13124.151025134193</v>
      </c>
    </row>
    <row r="75" spans="26:31" ht="12.75">
      <c r="Z75" s="28">
        <f t="shared" si="37"/>
        <v>18</v>
      </c>
      <c r="AA75" s="47">
        <f t="shared" si="39"/>
        <v>13124.151025134193</v>
      </c>
      <c r="AB75" s="47">
        <f t="shared" si="40"/>
        <v>1049.9320820107355</v>
      </c>
      <c r="AC75" s="47">
        <f t="shared" si="41"/>
        <v>4042.6783591467943</v>
      </c>
      <c r="AD75" s="47">
        <f t="shared" si="42"/>
        <v>5092.61044115753</v>
      </c>
      <c r="AE75" s="47">
        <f t="shared" si="43"/>
        <v>9081.4726659874</v>
      </c>
    </row>
    <row r="76" spans="26:31" ht="12.75">
      <c r="Z76" s="28">
        <f t="shared" si="37"/>
        <v>19</v>
      </c>
      <c r="AA76" s="47">
        <f t="shared" si="39"/>
        <v>9081.4726659874</v>
      </c>
      <c r="AB76" s="47">
        <f t="shared" si="40"/>
        <v>726.517813278992</v>
      </c>
      <c r="AC76" s="47">
        <f t="shared" si="41"/>
        <v>4366.092627878537</v>
      </c>
      <c r="AD76" s="47">
        <f t="shared" si="42"/>
        <v>5092.61044115753</v>
      </c>
      <c r="AE76" s="47">
        <f t="shared" si="43"/>
        <v>4715.380038108862</v>
      </c>
    </row>
    <row r="77" spans="26:31" ht="12.75">
      <c r="Z77" s="1">
        <f t="shared" si="37"/>
        <v>20</v>
      </c>
      <c r="AA77" s="48">
        <f t="shared" si="39"/>
        <v>4715.380038108862</v>
      </c>
      <c r="AB77" s="48">
        <f t="shared" si="40"/>
        <v>377.230403048709</v>
      </c>
      <c r="AC77" s="48">
        <f t="shared" si="41"/>
        <v>4715.38003810882</v>
      </c>
      <c r="AD77" s="48">
        <f t="shared" si="42"/>
        <v>5092.61044115753</v>
      </c>
      <c r="AE77" s="48">
        <f t="shared" si="43"/>
        <v>4.18367562815547E-11</v>
      </c>
    </row>
    <row r="79" spans="28:31" ht="12.75">
      <c r="AB79" s="38">
        <f>SUM(AB58:AB77)</f>
        <v>51852.20882315064</v>
      </c>
      <c r="AC79" s="38">
        <f>SUM(AC58:AC77)</f>
        <v>49999.999999999956</v>
      </c>
      <c r="AD79" s="15">
        <f>AD77/12</f>
        <v>424.3842034297941</v>
      </c>
      <c r="AE79" s="2" t="s">
        <v>55</v>
      </c>
    </row>
  </sheetData>
  <conditionalFormatting sqref="C48:X48 X51 Z47">
    <cfRule type="cellIs" priority="1" dxfId="0" operator="lessThan" stopIfTrue="1">
      <formula>0</formula>
    </cfRule>
  </conditionalFormatting>
  <printOptions horizontalCentered="1"/>
  <pageMargins left="0.22" right="0.22" top="0.6" bottom="0.25" header="0.5" footer="0.5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Macauley</dc:creator>
  <cp:keywords/>
  <dc:description/>
  <cp:lastModifiedBy>Doug Macauley</cp:lastModifiedBy>
  <dcterms:created xsi:type="dcterms:W3CDTF">1999-11-29T15:07:40Z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